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432" windowWidth="19836" windowHeight="8412" activeTab="1"/>
  </bookViews>
  <sheets>
    <sheet name="plán_akcí_2018" sheetId="1" r:id="rId1"/>
    <sheet name="návrh rozpočtu příjmy" sheetId="2" r:id="rId2"/>
    <sheet name="návrh rozpočtu výdaje" sheetId="3" r:id="rId3"/>
    <sheet name="List1" sheetId="4" r:id="rId4"/>
  </sheets>
  <definedNames/>
  <calcPr fullCalcOnLoad="1"/>
</workbook>
</file>

<file path=xl/comments2.xml><?xml version="1.0" encoding="utf-8"?>
<comments xmlns="http://schemas.openxmlformats.org/spreadsheetml/2006/main">
  <authors>
    <author>Obec Vyskytn?</author>
    <author>Schwam</author>
  </authors>
  <commentList>
    <comment ref="D47" authorId="0">
      <text>
        <r>
          <rPr>
            <b/>
            <sz val="8"/>
            <color indexed="8"/>
            <rFont val="Tahoma"/>
            <family val="2"/>
          </rPr>
          <t>Frühauf, Horký,  Vítek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25" authorId="1">
      <text>
        <r>
          <rPr>
            <b/>
            <sz val="9"/>
            <rFont val="Tahoma"/>
            <family val="2"/>
          </rPr>
          <t>Dotace oprava hasičárny - Fond Kraje vysočina
Dotace napojení vodovodu - IROP
Dotace oprava kaple Jiřín - MPMR
Dotace na opravu  komunikace Hlávkov -B.Kámen - MPMR
Dotace naše škola - Fond Kraje vysočina
Jednorázová dotace 120 000 Kč
Dotace studna hřiště - Fond Kraje vysočina
Dotace na propustek Rounek - IROP</t>
        </r>
      </text>
    </comment>
  </commentList>
</comments>
</file>

<file path=xl/comments3.xml><?xml version="1.0" encoding="utf-8"?>
<comments xmlns="http://schemas.openxmlformats.org/spreadsheetml/2006/main">
  <authors>
    <author>OU Vyskytn? nad Ji</author>
    <author>Schwam</author>
  </authors>
  <commentList>
    <comment ref="F15" authorId="0">
      <text>
        <r>
          <rPr>
            <b/>
            <sz val="9"/>
            <color indexed="8"/>
            <rFont val="Tahoma"/>
            <family val="2"/>
          </rPr>
          <t xml:space="preserve">100 tis.Kč Kč ulička a spodní cesta Vn.n.J.
130 tis.Kč opravy výtluky
50 tis.Kč obrubníky u pomníku kaple Hlávkov
1 500 tis.Kč silnice Hlávkov -Bílý Kámen počítáno 50% dotace
200 tis.Kč cesta Picková
350 tis.Kč cesta k hájovně
</t>
        </r>
      </text>
    </comment>
    <comment ref="F29" authorId="0">
      <text>
        <r>
          <rPr>
            <b/>
            <sz val="9"/>
            <color indexed="8"/>
            <rFont val="Tahoma"/>
            <family val="2"/>
          </rPr>
          <t xml:space="preserve">400 tis.Kč sanace vnitřního  povrchu vodojemů
</t>
        </r>
      </text>
    </comment>
    <comment ref="F33" authorId="0">
      <text>
        <r>
          <rPr>
            <b/>
            <sz val="9"/>
            <color indexed="8"/>
            <rFont val="Tahoma"/>
            <family val="2"/>
          </rPr>
          <t>3 mil.Kč zapojení studně B.Kámen do řádu 70% dotace
150 tis. Přípojka Kovalovský
200 tis. Studna na hřišti VnJ 50% dotace
600 tis.Kč průzkum nové zdroje vody
50 tis.Kč vrt u hřiště Jiřín</t>
        </r>
      </text>
    </comment>
    <comment ref="F39" authorId="0">
      <text>
        <r>
          <rPr>
            <b/>
            <sz val="9"/>
            <color indexed="8"/>
            <rFont val="Tahoma"/>
            <family val="2"/>
          </rPr>
          <t>250 tis.Kč zatrubnění u Hlavů
550 tis.Kč  propustek VnJ směr Rounek - dotace 120 tis.
150 tis.Kč  ČOV OÚ</t>
        </r>
      </text>
    </comment>
    <comment ref="F40" authorId="0">
      <text>
        <r>
          <rPr>
            <b/>
            <sz val="9"/>
            <color indexed="8"/>
            <rFont val="Tahoma"/>
            <family val="2"/>
          </rPr>
          <t>4,5 mil.Kč   Rezerva pro novou kanalizaci</t>
        </r>
      </text>
    </comment>
    <comment ref="F94" authorId="0">
      <text>
        <r>
          <rPr>
            <b/>
            <sz val="9"/>
            <color indexed="8"/>
            <rFont val="Tahoma"/>
            <family val="2"/>
          </rPr>
          <t xml:space="preserve"> 30 000 Kč pouť Vyskytná
9 000 Kč uzavírka silnice na pouť
18 000 Kč pouť Jiřín</t>
        </r>
      </text>
    </comment>
    <comment ref="F97" authorId="0">
      <text>
        <r>
          <rPr>
            <b/>
            <sz val="9"/>
            <color indexed="8"/>
            <rFont val="Tahoma"/>
            <family val="2"/>
          </rPr>
          <t>Akce Jeerzet 17 000 Kč celkem :
maškarní odpoledne 2000 Kč
den dětí 2 300 Kč
výlet 10 000 Kč
vánocení 2 700
Šampionáda 20 000 Kč
čarodějnice 1 000 Kč
pralesní liga 2 800 Kč
Silvestrovský ohňostroj Jiřín 5 000</t>
        </r>
      </text>
    </comment>
    <comment ref="F110" authorId="0">
      <text>
        <r>
          <rPr>
            <b/>
            <sz val="9"/>
            <color indexed="8"/>
            <rFont val="Tahoma"/>
            <family val="2"/>
          </rPr>
          <t xml:space="preserve">Revize dětských hřišť  5 000 Kč
</t>
        </r>
      </text>
    </comment>
    <comment ref="F181" authorId="0">
      <text>
        <r>
          <rPr>
            <b/>
            <sz val="9"/>
            <color indexed="8"/>
            <rFont val="Tahoma"/>
            <family val="2"/>
          </rPr>
          <t>400 tis.Kč rekonstrukce hasičárna Jiřín 50% dotace
35 tis.Kč betonová plocha pro požární sport + terče</t>
        </r>
      </text>
    </comment>
    <comment ref="F292" authorId="0">
      <text>
        <r>
          <rPr>
            <b/>
            <sz val="9"/>
            <color indexed="8"/>
            <rFont val="Tahoma"/>
            <family val="2"/>
          </rPr>
          <t>3.710 Sdružení měst a obcí
9 000  MAS Třešťsko</t>
        </r>
      </text>
    </comment>
    <comment ref="F293" authorId="0">
      <text>
        <r>
          <rPr>
            <b/>
            <sz val="9"/>
            <color indexed="8"/>
            <rFont val="Tahoma"/>
            <family val="2"/>
          </rPr>
          <t>8.000 Zvoneček</t>
        </r>
      </text>
    </comment>
    <comment ref="F86" authorId="0">
      <text>
        <r>
          <rPr>
            <b/>
            <sz val="9"/>
            <color indexed="8"/>
            <rFont val="Tahoma"/>
            <family val="2"/>
          </rPr>
          <t xml:space="preserve">
400 tis.Kč - rekonstrukce kaple v Jiříně - dlotace 60%</t>
        </r>
      </text>
    </comment>
    <comment ref="F99" authorId="0">
      <text>
        <r>
          <rPr>
            <b/>
            <sz val="9"/>
            <color indexed="8"/>
            <rFont val="Tahoma"/>
            <family val="2"/>
          </rPr>
          <t xml:space="preserve"> SPOZ</t>
        </r>
        <r>
          <rPr>
            <sz val="9"/>
            <color indexed="8"/>
            <rFont val="Tahoma"/>
            <family val="2"/>
          </rPr>
          <t xml:space="preserve">
10.000 karneval
10.000 divadlo
1 000 beseda Vilímek
2.000 čarodějnice
10 000 vinobraní
8.000 MDD
3.000 Halloween
10.000 zakončení prázdnin
5 000 velikonoční tvoření
</t>
        </r>
        <r>
          <rPr>
            <b/>
            <sz val="9"/>
            <color indexed="8"/>
            <rFont val="Tahoma"/>
            <family val="2"/>
          </rPr>
          <t>OU Vyskytná nad Ji :</t>
        </r>
        <r>
          <rPr>
            <sz val="9"/>
            <color indexed="8"/>
            <rFont val="Tahoma"/>
            <family val="2"/>
          </rPr>
          <t xml:space="preserve">
6 000 Masopustní průvod
3.000 zpívání v kostel
10 000 Kč Sivestrovský ohňostroj Vyskytná
6 000 Kč divadlo škola
9 000 Kč výlet obec VnJ</t>
        </r>
      </text>
    </comment>
    <comment ref="F115" authorId="0">
      <text>
        <r>
          <rPr>
            <b/>
            <sz val="9"/>
            <color indexed="8"/>
            <rFont val="Tahoma"/>
            <family val="2"/>
          </rPr>
          <t>OU Vyskytná nad Ji:</t>
        </r>
        <r>
          <rPr>
            <sz val="9"/>
            <color indexed="8"/>
            <rFont val="Tahoma"/>
            <family val="2"/>
          </rPr>
          <t xml:space="preserve">
20 000 TJ Ježek Rantířov
</t>
        </r>
      </text>
    </comment>
    <comment ref="F282" authorId="1">
      <text>
        <r>
          <rPr>
            <b/>
            <sz val="9"/>
            <rFont val="Tahoma"/>
            <family val="2"/>
          </rPr>
          <t>DPH</t>
        </r>
      </text>
    </comment>
    <comment ref="F269" authorId="1">
      <text>
        <r>
          <rPr>
            <b/>
            <sz val="9"/>
            <rFont val="Tahoma"/>
            <family val="2"/>
          </rPr>
          <t>200 tis.Kč oprava autobusové zastávky Hlávkov
150 tis.Kč oprava topení + oken hospoda Jiřín
50 tis.Kč úprava objektu vodárny na společenské zázemí</t>
        </r>
      </text>
    </comment>
    <comment ref="F109" authorId="1">
      <text>
        <r>
          <rPr>
            <b/>
            <sz val="9"/>
            <rFont val="Tahoma"/>
            <family val="2"/>
          </rPr>
          <t xml:space="preserve">
30 tis.Kč oplocení dětského hřiště VnJ 
200 tis.Kč přívod el.energie na hřiště VnJ
350 tis.Kč dokončení hřiště Rounek
55 tis. Hřiště Hlávkov</t>
        </r>
      </text>
    </comment>
    <comment ref="F14" authorId="1">
      <text>
        <r>
          <rPr>
            <b/>
            <sz val="9"/>
            <rFont val="Tahoma"/>
            <family val="2"/>
          </rPr>
          <t>50 tis.Kč projekty</t>
        </r>
      </text>
    </comment>
    <comment ref="F51" authorId="1">
      <text>
        <r>
          <rPr>
            <b/>
            <sz val="9"/>
            <rFont val="Tahoma"/>
            <family val="2"/>
          </rPr>
          <t xml:space="preserve">10 tis.Kč stavení dozor
</t>
        </r>
      </text>
    </comment>
    <comment ref="F130" authorId="1">
      <text>
        <r>
          <rPr>
            <b/>
            <sz val="9"/>
            <rFont val="Tahoma"/>
            <family val="2"/>
          </rPr>
          <t>110 000 Kč PD na nová osvětlení
20 000 Kč osvětlení sál Jiřín</t>
        </r>
      </text>
    </comment>
    <comment ref="F185" authorId="1">
      <text>
        <r>
          <rPr>
            <b/>
            <sz val="9"/>
            <rFont val="Tahoma"/>
            <family val="2"/>
          </rPr>
          <t>Odměny zastupitelů 95 000 Kč</t>
        </r>
        <r>
          <rPr>
            <sz val="9"/>
            <rFont val="Tahoma"/>
            <family val="2"/>
          </rPr>
          <t xml:space="preserve">
</t>
        </r>
      </text>
    </comment>
    <comment ref="F87" authorId="1">
      <text>
        <r>
          <rPr>
            <b/>
            <sz val="9"/>
            <rFont val="Tahoma"/>
            <family val="2"/>
          </rPr>
          <t>nátěr fasády kaple Hlávkov</t>
        </r>
      </text>
    </comment>
    <comment ref="F270" authorId="1">
      <text>
        <r>
          <rPr>
            <b/>
            <sz val="9"/>
            <rFont val="Tahoma"/>
            <family val="2"/>
          </rPr>
          <t>100 tis. Rezerva technika</t>
        </r>
      </text>
    </comment>
    <comment ref="F16" authorId="1">
      <text>
        <r>
          <rPr>
            <b/>
            <sz val="9"/>
            <rFont val="Tahoma"/>
            <family val="2"/>
          </rPr>
          <t xml:space="preserve">150 tis.Kč  chodník k Ježené
</t>
        </r>
        <r>
          <rPr>
            <sz val="9"/>
            <rFont val="Tahoma"/>
            <family val="0"/>
          </rPr>
          <t xml:space="preserve">
</t>
        </r>
      </text>
    </comment>
    <comment ref="F66" authorId="1">
      <text>
        <r>
          <rPr>
            <b/>
            <sz val="9"/>
            <rFont val="Tahoma"/>
            <family val="2"/>
          </rPr>
          <t>500 tis.Kč čistírna odpadních vod
500 tis.Kč akustické podhledy tělocvična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455 tis.Kč venkovní učebna - doatce 90%, 23 000 Kč
</t>
        </r>
      </text>
    </comment>
    <comment ref="F161" authorId="1">
      <text>
        <r>
          <rPr>
            <b/>
            <sz val="9"/>
            <rFont val="Tahoma"/>
            <family val="2"/>
          </rPr>
          <t>16 000  Kč nákup sekačka Jiřín
65 000 Kč nákup zahradní traktor na sečení</t>
        </r>
      </text>
    </comment>
    <comment ref="F177" authorId="1">
      <text>
        <r>
          <rPr>
            <b/>
            <sz val="9"/>
            <rFont val="Tahoma"/>
            <family val="2"/>
          </rPr>
          <t>15 000 Kč nákup motorové pily hasiči</t>
        </r>
      </text>
    </comment>
    <comment ref="F122" authorId="1">
      <text>
        <r>
          <rPr>
            <b/>
            <sz val="9"/>
            <rFont val="Tahoma"/>
            <family val="0"/>
          </rPr>
          <t>100 tis.Kč projekt nové parcely výstavba
100 tis.Kč projekt škola Jiřín - přestavba na byty</t>
        </r>
      </text>
    </comment>
    <comment ref="F259" authorId="1">
      <text>
        <r>
          <rPr>
            <b/>
            <sz val="9"/>
            <rFont val="Tahoma"/>
            <family val="0"/>
          </rPr>
          <t>25 tis.Kč nátěr střechy a lemů hospoda Jiřín</t>
        </r>
      </text>
    </comment>
    <comment ref="F165" authorId="1">
      <text>
        <r>
          <rPr>
            <b/>
            <sz val="9"/>
            <rFont val="Tahoma"/>
            <family val="0"/>
          </rPr>
          <t>70 tis.Kč oprava hráze návesák Rounek
100 tis.Kč oprava jezírka VnJ</t>
        </r>
      </text>
    </comment>
    <comment ref="F54" authorId="1">
      <text>
        <r>
          <rPr>
            <b/>
            <sz val="9"/>
            <rFont val="Tahoma"/>
            <family val="0"/>
          </rPr>
          <t>70 tis.Kč vybavení nářaďovna
10 tis.Kč topné těleso</t>
        </r>
      </text>
    </comment>
  </commentList>
</comments>
</file>

<file path=xl/sharedStrings.xml><?xml version="1.0" encoding="utf-8"?>
<sst xmlns="http://schemas.openxmlformats.org/spreadsheetml/2006/main" count="716" uniqueCount="493">
  <si>
    <t>rozpočtovaná částka</t>
  </si>
  <si>
    <t>realizace</t>
  </si>
  <si>
    <t>z roku 2016</t>
  </si>
  <si>
    <t>vybudování přístřešku pro dřevo u hospody</t>
  </si>
  <si>
    <t>Jiřín</t>
  </si>
  <si>
    <t>Hlávkov</t>
  </si>
  <si>
    <t>Rounek</t>
  </si>
  <si>
    <t>Vyskytná nad Jihlavou</t>
  </si>
  <si>
    <t>škola</t>
  </si>
  <si>
    <t>rekonstrukce chodby k tělocvičně</t>
  </si>
  <si>
    <t>akustické podhledy v jídelně (tělocvičně)</t>
  </si>
  <si>
    <t>Nářaďovna - regály</t>
  </si>
  <si>
    <t>vybavení šatny před tělocvičnou (skříňky, lavičky)</t>
  </si>
  <si>
    <t>venkovní učebna s úschovou kol</t>
  </si>
  <si>
    <t>topné těleso + el.zásuvka v kabinetu</t>
  </si>
  <si>
    <t>dokončení divadelního sálu + zázemí pro učinkující</t>
  </si>
  <si>
    <t xml:space="preserve">ulička a spodní cesta </t>
  </si>
  <si>
    <t>sanace povrchu vodojemu</t>
  </si>
  <si>
    <t>zatrubnění u Hlavů</t>
  </si>
  <si>
    <t>fresky Sv.Antonín - průzkum</t>
  </si>
  <si>
    <t>rozšíření hřiště</t>
  </si>
  <si>
    <t>nákup dětského hřiště</t>
  </si>
  <si>
    <t>Rozpočet obce Vyskytná nad Jihlavou příjmy</t>
  </si>
  <si>
    <t>Paragraf</t>
  </si>
  <si>
    <t>Položka</t>
  </si>
  <si>
    <t>Text</t>
  </si>
  <si>
    <t>Daňové příjmy</t>
  </si>
  <si>
    <t>Daň ze závislé činnosti</t>
  </si>
  <si>
    <t>Daň z příjmů fyzických osob ze SVČ</t>
  </si>
  <si>
    <t>Daň z příjmů fyzických osob z kapit.výnos</t>
  </si>
  <si>
    <t>Daň z příjmů právnických osob</t>
  </si>
  <si>
    <t>Daň z příjmů právnických osob za obec</t>
  </si>
  <si>
    <t>Daň z přidané hodnoty</t>
  </si>
  <si>
    <t>Odvody za odnětí půdy ze zemědělského fondu</t>
  </si>
  <si>
    <t>Poplatek za likvidaci komunálního odpadu</t>
  </si>
  <si>
    <t>Poplatek ze psů</t>
  </si>
  <si>
    <t>Poplatek za lázeňský nebo rekreační pobyt</t>
  </si>
  <si>
    <t>Poplatek za užívání veřejného prostranství - pouť</t>
  </si>
  <si>
    <t>Poplatek ze vstupného</t>
  </si>
  <si>
    <t>Poplatek z ubytovací kapacity</t>
  </si>
  <si>
    <t>Správní poplatky</t>
  </si>
  <si>
    <t>Daň z nemovitostí</t>
  </si>
  <si>
    <t>Daňové příjmy celkem</t>
  </si>
  <si>
    <t>Přijaté dotace</t>
  </si>
  <si>
    <t xml:space="preserve">dotace volby </t>
  </si>
  <si>
    <t>Neinvestiční přijaté transfery ze SR v rámci souhrnného dotačního vztahu</t>
  </si>
  <si>
    <t>na výkon státní správy</t>
  </si>
  <si>
    <t>na školství</t>
  </si>
  <si>
    <t>Ostatní neinv. přijaté transfery ze st. rozpočtu</t>
  </si>
  <si>
    <t>za žáky Plandry, Rantířov, Bílý Kámen</t>
  </si>
  <si>
    <t>Neinvestiční přijaté transfery od krajů</t>
  </si>
  <si>
    <t>Převody z rozpočtových účtů</t>
  </si>
  <si>
    <t>Přijaté dotace celkem</t>
  </si>
  <si>
    <t>Celkem</t>
  </si>
  <si>
    <t>Nedaňové příjmy</t>
  </si>
  <si>
    <t>prodej dřeva</t>
  </si>
  <si>
    <t>prodej vody občané + Bílý Kámen</t>
  </si>
  <si>
    <t>elektrika Bílý Kámen</t>
  </si>
  <si>
    <t>přeplatek CÚ voda</t>
  </si>
  <si>
    <t>stočné Vyskytná, Jiřín, Hlávkov</t>
  </si>
  <si>
    <t>přijaté nekapitálové náhrady a příspěvky</t>
  </si>
  <si>
    <t>úhrada fa. za spotřebu plynu ZŠ, přeplatek záloh</t>
  </si>
  <si>
    <t>byty na OÚ /za služby</t>
  </si>
  <si>
    <t>příjmy z pronájmu ostatních nemovitostí a jejich částí</t>
  </si>
  <si>
    <t>vyúčtování el. společných prostor bytů</t>
  </si>
  <si>
    <r>
      <t xml:space="preserve">služby </t>
    </r>
    <r>
      <rPr>
        <sz val="12"/>
        <color indexed="8"/>
        <rFont val="Arial CE"/>
        <family val="0"/>
      </rPr>
      <t>TELEFONICA, ČESKÁ POŠTA, HOSPODY</t>
    </r>
  </si>
  <si>
    <r>
      <t xml:space="preserve">nájmy </t>
    </r>
    <r>
      <rPr>
        <sz val="12"/>
        <color indexed="8"/>
        <rFont val="Arial CE"/>
        <family val="0"/>
      </rPr>
      <t>T-MOBILE, MUZEUM,  TELEFONNÍ, Č. POŠTA, OBCHOD, HOSPODA</t>
    </r>
  </si>
  <si>
    <t>služby hřbitov</t>
  </si>
  <si>
    <t>nájmy hrobů na 10 let</t>
  </si>
  <si>
    <t>za třídění komunálního odpadu  EKO-KOM</t>
  </si>
  <si>
    <t>kovošrot</t>
  </si>
  <si>
    <t>příjmy z poskytování služeb a výrobků (hlášení)</t>
  </si>
  <si>
    <t xml:space="preserve">pokuty placeny obci </t>
  </si>
  <si>
    <r>
      <t xml:space="preserve">pronájem pozemků, </t>
    </r>
    <r>
      <rPr>
        <sz val="12"/>
        <color indexed="8"/>
        <rFont val="Arial CE"/>
        <family val="0"/>
      </rPr>
      <t>LD ŠTOKY, DUŠEJOV, HYBRÁLEC, ASA, FO</t>
    </r>
  </si>
  <si>
    <t>sankční platby přijaté od jiných subjektů</t>
  </si>
  <si>
    <t>Přijaté neinvestiční dary</t>
  </si>
  <si>
    <t>Přijaté pojistné náhrady</t>
  </si>
  <si>
    <t>Přijaté nekapitálové příspěvky a náhrady</t>
  </si>
  <si>
    <t>prodej pozemků FO</t>
  </si>
  <si>
    <t>Příjmy z prodeje majetkových podílů</t>
  </si>
  <si>
    <t>Příjmy z úroků</t>
  </si>
  <si>
    <t>Nedaňové příjmy celkem</t>
  </si>
  <si>
    <t>Zůstatek na účtu k 31.12.</t>
  </si>
  <si>
    <t>Celkové příjmy</t>
  </si>
  <si>
    <t>Rozpočet obce Vyskytná nad Jihlavou výdaje</t>
  </si>
  <si>
    <t xml:space="preserve">                        Text</t>
  </si>
  <si>
    <t>Podpora ostatních produkčních činností</t>
  </si>
  <si>
    <t>dohody</t>
  </si>
  <si>
    <t>sazenice stromků</t>
  </si>
  <si>
    <t>odměna odborného lesního hospodáře</t>
  </si>
  <si>
    <t>práce v obecním lese - těžba, vysazování</t>
  </si>
  <si>
    <t>Komunikace</t>
  </si>
  <si>
    <t>nákup materiálu (štěrk)</t>
  </si>
  <si>
    <t>nákup služeb (projekty apod.)</t>
  </si>
  <si>
    <t>Opravy a udržování</t>
  </si>
  <si>
    <t>Provoz veřejné silniční dopravy</t>
  </si>
  <si>
    <t>ICOM  - výdaje na dopravní územní obslužnost</t>
  </si>
  <si>
    <t>Pitná voda</t>
  </si>
  <si>
    <t xml:space="preserve"> práce na dohodu - čištění studen</t>
  </si>
  <si>
    <t>drobný hmotný dlouhodobý majetek</t>
  </si>
  <si>
    <t>chloran sodný, barva apod.</t>
  </si>
  <si>
    <t>elektrická energie vodárna Rounek, Vyskytná</t>
  </si>
  <si>
    <t>rozbory pitné vody a nákup služeb ( p. Mičke)</t>
  </si>
  <si>
    <t>opravy vodoměrů a jiné opravy</t>
  </si>
  <si>
    <t>rezervní fond z vodného</t>
  </si>
  <si>
    <t>za provozní řád</t>
  </si>
  <si>
    <t>poplatek CÚ za vodu</t>
  </si>
  <si>
    <t>budovy, haly , stavby</t>
  </si>
  <si>
    <t>Kanalizace</t>
  </si>
  <si>
    <t>nákup materiálu j.n.</t>
  </si>
  <si>
    <t>rozbory odpadních vod a nákup ostatních služeb</t>
  </si>
  <si>
    <t>opravy a udržování</t>
  </si>
  <si>
    <t>budovy, haly a stavby- stočné určené na rozvoj kanalizace</t>
  </si>
  <si>
    <t>Speciální předškolní zařízení</t>
  </si>
  <si>
    <t>společně se základní školou</t>
  </si>
  <si>
    <t>Nákup ostatních služeb</t>
  </si>
  <si>
    <t>Základní škola</t>
  </si>
  <si>
    <t>Knihy pro prvňáčky</t>
  </si>
  <si>
    <t>DHDM</t>
  </si>
  <si>
    <t>DDHM</t>
  </si>
  <si>
    <t>nákup materiálu</t>
  </si>
  <si>
    <t>plyn v zálohách</t>
  </si>
  <si>
    <t>el.energie</t>
  </si>
  <si>
    <t>Oprava a udržování</t>
  </si>
  <si>
    <t>dotace od obce na provoz ZŠ</t>
  </si>
  <si>
    <t>Neinv. transf. škol. práv. osob. zř. státem, kr.</t>
  </si>
  <si>
    <t>Neinvestiční transfery zřízeným přísp. o.</t>
  </si>
  <si>
    <t>Platby daní a poplatků krajům, obcím a st.</t>
  </si>
  <si>
    <t>Knihovna</t>
  </si>
  <si>
    <t>Odměna knihovnice</t>
  </si>
  <si>
    <t>Nákup knih, předplatné</t>
  </si>
  <si>
    <t xml:space="preserve"> DHDM</t>
  </si>
  <si>
    <t>nákup materiálu j. n. (např. úklidové prostředky)</t>
  </si>
  <si>
    <t>nákup ostatních služeb</t>
  </si>
  <si>
    <t>Kronikáři</t>
  </si>
  <si>
    <t>Odměny kronikářů</t>
  </si>
  <si>
    <t>Knihy, učební pomůcky a tisk</t>
  </si>
  <si>
    <t>Činnost registrovaných církví a náboženských spolků</t>
  </si>
  <si>
    <t>nákup materiálu j. n.</t>
  </si>
  <si>
    <t>celkem</t>
  </si>
  <si>
    <t>Ostatní záležitosti kultury a církví</t>
  </si>
  <si>
    <t>odměny členkám SPOZ, z toho 3 000,- kronikář</t>
  </si>
  <si>
    <t>pohoštění hudby na pouti</t>
  </si>
  <si>
    <t>Věcné dary - balíčky k životnímu jubileu</t>
  </si>
  <si>
    <t>příspěvek na akce v Jiříně</t>
  </si>
  <si>
    <t>příspěvky na akce SPOZ V.n.J.</t>
  </si>
  <si>
    <t>vítání občánků</t>
  </si>
  <si>
    <t>Sportovní zařízení v majetku obce</t>
  </si>
  <si>
    <t>elektrická energie</t>
  </si>
  <si>
    <t>na výstavbu dětských hřišť- Vnj, Jiřín, Hlávkov</t>
  </si>
  <si>
    <t>pohoštění</t>
  </si>
  <si>
    <t>Příspěvky na tělovýchovu</t>
  </si>
  <si>
    <t>ostatní neinvestiční dotace neziskovým a podobným organizacím</t>
  </si>
  <si>
    <t>Bytové hospodářství</t>
  </si>
  <si>
    <t>byty ZŠ a jiné opravy</t>
  </si>
  <si>
    <t>Veřejné osvětlení</t>
  </si>
  <si>
    <t>Elektrická energie</t>
  </si>
  <si>
    <t>vypracování  passportu a opravy</t>
  </si>
  <si>
    <t>programové vybavení</t>
  </si>
  <si>
    <t>Budovy, haly, stavby</t>
  </si>
  <si>
    <t>Hřbitov</t>
  </si>
  <si>
    <t>údržba hřbitova</t>
  </si>
  <si>
    <t>PHM a maziva</t>
  </si>
  <si>
    <t>odvoz a uložení odpadu a nákup ostatních služeb</t>
  </si>
  <si>
    <t>Pojízdná prodejna</t>
  </si>
  <si>
    <t>pojízdná prodejna</t>
  </si>
  <si>
    <t>Komunální odpad</t>
  </si>
  <si>
    <t>nákup pytlů na tříděný odpad</t>
  </si>
  <si>
    <t>svoz odpadu - SMJ s.r.o.</t>
  </si>
  <si>
    <t>stroje, přístroje a zařízení</t>
  </si>
  <si>
    <t>Péče o vzhled obce a veř.zeleň</t>
  </si>
  <si>
    <t>dohody - sečení</t>
  </si>
  <si>
    <t>materiál na opravy - sekačka + křoviňák</t>
  </si>
  <si>
    <t>pohonné hmoty a maziva</t>
  </si>
  <si>
    <t>opravy a revize stromů</t>
  </si>
  <si>
    <t>Vítání občánků</t>
  </si>
  <si>
    <t>součástí SPOZ</t>
  </si>
  <si>
    <t>Hasiči</t>
  </si>
  <si>
    <t>Dohody</t>
  </si>
  <si>
    <t>Ochranné pomůcky</t>
  </si>
  <si>
    <t>Prádlo, oděv, obuv</t>
  </si>
  <si>
    <t>Pohonné hmoty a maziva</t>
  </si>
  <si>
    <t>STK, emise</t>
  </si>
  <si>
    <t xml:space="preserve">Jiřínské léto a Rybí hody </t>
  </si>
  <si>
    <t>Zastupitelstvo obce</t>
  </si>
  <si>
    <t xml:space="preserve">Odměny zastupitelů                               </t>
  </si>
  <si>
    <t>povinné pojistné na SZ,  pouze starosta 25% platu</t>
  </si>
  <si>
    <t>Zdravotní pojištění  , všichni 9% platu</t>
  </si>
  <si>
    <t>Cestovné</t>
  </si>
  <si>
    <t>Ostatní osobní výdaje</t>
  </si>
  <si>
    <t xml:space="preserve"> Nákup materiálu j.n.</t>
  </si>
  <si>
    <t>služby pošt</t>
  </si>
  <si>
    <t>ostatní osobní výdaje</t>
  </si>
  <si>
    <t>povinné pojistné na veř. zdrav. pojištění</t>
  </si>
  <si>
    <t>Volba prezidenta</t>
  </si>
  <si>
    <t>zdravotní pojištění</t>
  </si>
  <si>
    <t>platby daní a poplatků státnímu rozpočtu</t>
  </si>
  <si>
    <t>Vnitřní správa</t>
  </si>
  <si>
    <t>Platy zaměstnanců</t>
  </si>
  <si>
    <t>práce na dohody</t>
  </si>
  <si>
    <t>Sociální pojištění</t>
  </si>
  <si>
    <t>Zdravotní pojištění</t>
  </si>
  <si>
    <t>Úrazové pojištění za všechny zaměstnance</t>
  </si>
  <si>
    <t>Sbírky zákonů, tisk,literatura</t>
  </si>
  <si>
    <t>tonery, papíry do tiskárny, kanc. potřeby</t>
  </si>
  <si>
    <t>úroky z úvěrů</t>
  </si>
  <si>
    <t>Plyn</t>
  </si>
  <si>
    <t xml:space="preserve">ZŠ  zálohy        4 x 34 240 Kč      </t>
  </si>
  <si>
    <t>obec               (5 780 x 12)+4 240 Kč</t>
  </si>
  <si>
    <t xml:space="preserve">obchod č. 55     4 x  2 290 Kč        </t>
  </si>
  <si>
    <t xml:space="preserve">Elektrická energie  </t>
  </si>
  <si>
    <t>obec                         4 x 96 690 Kč</t>
  </si>
  <si>
    <t>obec VnJ 67                            23 420 Kč</t>
  </si>
  <si>
    <t>obec VnJ 67                             5 960 Kč</t>
  </si>
  <si>
    <t>Obecní úřad VnJ 67               23 230 Kč</t>
  </si>
  <si>
    <t xml:space="preserve">Jiřín 41 - KD                           22 120 Kč        </t>
  </si>
  <si>
    <t>Jiřín  1                                         950 Kč</t>
  </si>
  <si>
    <t>Jiřín - KD                                12 640 Kč</t>
  </si>
  <si>
    <t>Hlávkov  č.23                            1 760 Kč</t>
  </si>
  <si>
    <t>Hlávkov  VO                             6 610 Kč</t>
  </si>
  <si>
    <t>Hlávkov 23 - prodejna</t>
  </si>
  <si>
    <t>Vodárna B. Kámen</t>
  </si>
  <si>
    <t>Rounek    4 x 9 320 Kč</t>
  </si>
  <si>
    <t xml:space="preserve">Vyskytná obchod č.55    4 x 4940 Kč      </t>
  </si>
  <si>
    <t>nafta traktor, olej</t>
  </si>
  <si>
    <t>Poštovné</t>
  </si>
  <si>
    <t>Telefon pevná + mobil starosta</t>
  </si>
  <si>
    <t>poplatky KB</t>
  </si>
  <si>
    <t>nájemné</t>
  </si>
  <si>
    <t>konzultační, poradenské a právní služby</t>
  </si>
  <si>
    <t>Školení</t>
  </si>
  <si>
    <t>zpracování mezd</t>
  </si>
  <si>
    <t>Pohoštění</t>
  </si>
  <si>
    <t>Zůstatek pokladny</t>
  </si>
  <si>
    <t>věcné dary</t>
  </si>
  <si>
    <t>ostatní neinv. dotace nezisk. a podob. organizacím</t>
  </si>
  <si>
    <t>nákup kolků</t>
  </si>
  <si>
    <t>platby daní a poplatků -udržovací popl.programů a sestav</t>
  </si>
  <si>
    <t>Výdaje z finančních operací</t>
  </si>
  <si>
    <t>Poplatky bance</t>
  </si>
  <si>
    <t>ČNB</t>
  </si>
  <si>
    <t>Převody vlastním rozpočtovým účtům</t>
  </si>
  <si>
    <t>Platba DPPO za obec</t>
  </si>
  <si>
    <t>DPH obce</t>
  </si>
  <si>
    <t>Fin.vypořádání min.let</t>
  </si>
  <si>
    <t>Neinvestiční transf.obecněprospěšným spol</t>
  </si>
  <si>
    <t>Vratka dotace - sčítání lidu</t>
  </si>
  <si>
    <t>Charita + SMO</t>
  </si>
  <si>
    <t>Neinvestiční transf. obecně prospěšným spol.</t>
  </si>
  <si>
    <t>ostatní neinvestiční transfery nezisk. a podob. org.</t>
  </si>
  <si>
    <t>Výdaje celkem</t>
  </si>
  <si>
    <t>Příjmy celkem</t>
  </si>
  <si>
    <t>Rozdíl příjmů a výdajů:</t>
  </si>
  <si>
    <t>stav účtu</t>
  </si>
  <si>
    <t>silnice Hlávkov - B.Kámen</t>
  </si>
  <si>
    <t>úprava terénu pod kontajner na bioodpad</t>
  </si>
  <si>
    <t>nová technika</t>
  </si>
  <si>
    <t>plot u dětského hřiště</t>
  </si>
  <si>
    <t>vodovod Kovalovský</t>
  </si>
  <si>
    <t>oprava pomníku vedle kaple</t>
  </si>
  <si>
    <t>oprava autobusové zastávky včetně odkupu pozemku</t>
  </si>
  <si>
    <t>ČOV pro OÚ</t>
  </si>
  <si>
    <t>parkovací místa před OÚ</t>
  </si>
  <si>
    <t>oprava cesty na Zaječí skok</t>
  </si>
  <si>
    <t>nátěr střechy a lemů hospoda Jiřín</t>
  </si>
  <si>
    <t>repasy starých dveří</t>
  </si>
  <si>
    <t>napojení studně B.Kámen</t>
  </si>
  <si>
    <t>společné akce obcí</t>
  </si>
  <si>
    <t>propustek u Bělochů</t>
  </si>
  <si>
    <t>50% dotace</t>
  </si>
  <si>
    <t>Investice 2016</t>
  </si>
  <si>
    <t>Vyskytná</t>
  </si>
  <si>
    <t xml:space="preserve">zrcadlo na křižovatku </t>
  </si>
  <si>
    <t xml:space="preserve">dokončení otočky </t>
  </si>
  <si>
    <t>TD nová cesta Rounek + přeložení sloupu</t>
  </si>
  <si>
    <t>zaokruhování Rounek</t>
  </si>
  <si>
    <t>oprava vozovky vč.st.dozoru</t>
  </si>
  <si>
    <t>zpevněná plocha před školou</t>
  </si>
  <si>
    <t xml:space="preserve">úprava pozemku hřiště </t>
  </si>
  <si>
    <t>přeložka VO</t>
  </si>
  <si>
    <t>skříně SDH</t>
  </si>
  <si>
    <t>nákup AVIA</t>
  </si>
  <si>
    <t xml:space="preserve">židle KD </t>
  </si>
  <si>
    <t>zábradlí Jiřín</t>
  </si>
  <si>
    <t>komín KD</t>
  </si>
  <si>
    <t>rekonstrukce hospody</t>
  </si>
  <si>
    <t>oprava zvonice kaple</t>
  </si>
  <si>
    <t>rekonstrukce otočky  vč.st.dozoru</t>
  </si>
  <si>
    <t>komunikace Hlávkov vč.dozoru</t>
  </si>
  <si>
    <t>vozovka u Roubalů</t>
  </si>
  <si>
    <t>vozovka pod kostelem</t>
  </si>
  <si>
    <t>obruby u Řičánků</t>
  </si>
  <si>
    <t>sjezd u chat</t>
  </si>
  <si>
    <t>vozovka u hospody</t>
  </si>
  <si>
    <t>cesta Rounek - průzkum, TD, poplatky</t>
  </si>
  <si>
    <t>kanalizace spodní ulice</t>
  </si>
  <si>
    <t>oprava kanalizace</t>
  </si>
  <si>
    <t>prodloužení osvětlení</t>
  </si>
  <si>
    <t>rozvaděč podium</t>
  </si>
  <si>
    <t>oprava lávky</t>
  </si>
  <si>
    <t>oprava opěrné zdi</t>
  </si>
  <si>
    <t>přívěsný vozík</t>
  </si>
  <si>
    <t>montáž zrcadla</t>
  </si>
  <si>
    <t>oprava požární nádrže</t>
  </si>
  <si>
    <t>sanace hasičárny</t>
  </si>
  <si>
    <t>bourání sklepa</t>
  </si>
  <si>
    <t>stavbení práce hospoda + dozory</t>
  </si>
  <si>
    <t>Investice do školy 2016</t>
  </si>
  <si>
    <t>Investice 2015</t>
  </si>
  <si>
    <t>Investice do školy 2015</t>
  </si>
  <si>
    <t>materiál + knihy</t>
  </si>
  <si>
    <t>plyn</t>
  </si>
  <si>
    <t>služby bez služeb k investicím (žádosti, PD)</t>
  </si>
  <si>
    <t>opravy</t>
  </si>
  <si>
    <t>příspěvek na provoz</t>
  </si>
  <si>
    <t>dary</t>
  </si>
  <si>
    <t>Investice do školy 2017</t>
  </si>
  <si>
    <t>Investice 2017</t>
  </si>
  <si>
    <t>cesta u Karpíšků</t>
  </si>
  <si>
    <t>dodělání cesty u Roublaů</t>
  </si>
  <si>
    <t>ulička + spodní cesta</t>
  </si>
  <si>
    <t>cesta u bytovky</t>
  </si>
  <si>
    <t>dofakturace cesta Jiřín</t>
  </si>
  <si>
    <t>přípojka vody Kovalovský</t>
  </si>
  <si>
    <t>zatrubnění u Šouců</t>
  </si>
  <si>
    <t>oprava kanalizace u Medů</t>
  </si>
  <si>
    <t>přeložka sloupu + natažení el.kabelu</t>
  </si>
  <si>
    <t>vrata hasičárna + podlahy</t>
  </si>
  <si>
    <t>dofakturace elektroinstalace + VZT</t>
  </si>
  <si>
    <t xml:space="preserve">herní sestava </t>
  </si>
  <si>
    <t>zbudování dětského hřiště</t>
  </si>
  <si>
    <t>dodělání komína KD</t>
  </si>
  <si>
    <t>Investice 2014</t>
  </si>
  <si>
    <t>Investice do školy 2014</t>
  </si>
  <si>
    <t xml:space="preserve">cesty u chatové oblasti </t>
  </si>
  <si>
    <t xml:space="preserve">PD otočka </t>
  </si>
  <si>
    <t>Geoplán cyklotrasa</t>
  </si>
  <si>
    <t>nová cesta Rounek</t>
  </si>
  <si>
    <t>Pergola Vyskytná</t>
  </si>
  <si>
    <t>nové osvětlení</t>
  </si>
  <si>
    <t>Oprava Šímák</t>
  </si>
  <si>
    <t>oprava rybník</t>
  </si>
  <si>
    <t>Osvětlení studny</t>
  </si>
  <si>
    <t>vozidlo SDH</t>
  </si>
  <si>
    <t>doplatek oplocení Jiřín</t>
  </si>
  <si>
    <t>osvětlení kostela</t>
  </si>
  <si>
    <t>cesta u Krpálků oprava</t>
  </si>
  <si>
    <t>oprava kanalizace u Řezáčů</t>
  </si>
  <si>
    <t>nátěr střechy</t>
  </si>
  <si>
    <t>stříkačka Jiřín</t>
  </si>
  <si>
    <t>oprava lavic na amfiteátru</t>
  </si>
  <si>
    <t>betonování plochy před hospodou v Jiříně</t>
  </si>
  <si>
    <t>požární ochrana</t>
  </si>
  <si>
    <t>převody</t>
  </si>
  <si>
    <t>budovy, haly, stavby</t>
  </si>
  <si>
    <t>nákup služeb</t>
  </si>
  <si>
    <t>cestovné</t>
  </si>
  <si>
    <t>2017</t>
  </si>
  <si>
    <t>nátěr fasády kaple Sv.Vojtěcha</t>
  </si>
  <si>
    <t xml:space="preserve">obrubníky u komunikace před kaplí </t>
  </si>
  <si>
    <t>z roku 2017</t>
  </si>
  <si>
    <t>komplet rekonstrukce hasičárny</t>
  </si>
  <si>
    <t>malotraktor na sečení návsi + sekačka</t>
  </si>
  <si>
    <t>projekt na úpravu objektu školy</t>
  </si>
  <si>
    <t>zpevnění svahu u horního hřiště + odvodnění hřiště</t>
  </si>
  <si>
    <t>nově v roce 2018</t>
  </si>
  <si>
    <t>Návrh            2018</t>
  </si>
  <si>
    <t>odhad 2017</t>
  </si>
  <si>
    <t>Návrh 2018</t>
  </si>
  <si>
    <t>Požadavky z jednotlivých obcí na rozpočet 2018</t>
  </si>
  <si>
    <t>cesta u Pickové</t>
  </si>
  <si>
    <t>cesta k hájovně</t>
  </si>
  <si>
    <t>dokončení povrchu hřiště + sítě + obrubníky</t>
  </si>
  <si>
    <t>parkování pod moštárnou</t>
  </si>
  <si>
    <t>chodník k Ježené</t>
  </si>
  <si>
    <t>studna na hřišti</t>
  </si>
  <si>
    <t>čistírna odpadních vod</t>
  </si>
  <si>
    <t>přípojka elektřiny na hřiště</t>
  </si>
  <si>
    <t>propustek směrem na Rounek</t>
  </si>
  <si>
    <t xml:space="preserve">zázemí hřiště </t>
  </si>
  <si>
    <t>komoditní centrum</t>
  </si>
  <si>
    <t>Skutečnost 2017</t>
  </si>
  <si>
    <t>propustek Jiřín</t>
  </si>
  <si>
    <t>asfaltování u hospody ve VnJ</t>
  </si>
  <si>
    <t>rekonstrukce WC</t>
  </si>
  <si>
    <t>oprava elektro</t>
  </si>
  <si>
    <t>oprava podlah</t>
  </si>
  <si>
    <t>projekt akustika</t>
  </si>
  <si>
    <t>sloupky před školou</t>
  </si>
  <si>
    <t>letní učebna - pož.řád + žádost o dotaci</t>
  </si>
  <si>
    <t>oplocení hospoda</t>
  </si>
  <si>
    <t>asfaltování u Karpíšků</t>
  </si>
  <si>
    <t>asfaltování u Roubalů</t>
  </si>
  <si>
    <t>asfaltování u Bytovky</t>
  </si>
  <si>
    <t>zpevněná plocha pod kontajnery</t>
  </si>
  <si>
    <t>oprava hasičárny</t>
  </si>
  <si>
    <t>dodláždění sezení před hospodou</t>
  </si>
  <si>
    <t>oprava střechy kaple</t>
  </si>
  <si>
    <t>fresky sv.Antonín</t>
  </si>
  <si>
    <t>oplocení dětského hřiště</t>
  </si>
  <si>
    <t>dodělání dětského hřiště</t>
  </si>
  <si>
    <t>nátěr fasády</t>
  </si>
  <si>
    <t>obrubníky u kaple</t>
  </si>
  <si>
    <t>oprava pomníku</t>
  </si>
  <si>
    <t>oprava autobusové zastávky</t>
  </si>
  <si>
    <t>dostavba komínu v KD</t>
  </si>
  <si>
    <t>zpevnění komunikace u Blažků</t>
  </si>
  <si>
    <t>očekávka</t>
  </si>
  <si>
    <t>skutečnost</t>
  </si>
  <si>
    <t>rozpočet 2017</t>
  </si>
  <si>
    <t>PD na nové osvětlení VnJ, Rounek, Hlávkov, Jiřín</t>
  </si>
  <si>
    <t>Kulturní akce SPOZ</t>
  </si>
  <si>
    <t>jubilanti</t>
  </si>
  <si>
    <t>divadlo</t>
  </si>
  <si>
    <t>karneval</t>
  </si>
  <si>
    <t>obecní bál</t>
  </si>
  <si>
    <t>Kulturní akce JEERZET</t>
  </si>
  <si>
    <t>čarodějnice</t>
  </si>
  <si>
    <t>šampionáda</t>
  </si>
  <si>
    <t>dětský den</t>
  </si>
  <si>
    <t>ukončení prázdnin</t>
  </si>
  <si>
    <t>vátání občánků</t>
  </si>
  <si>
    <t>?</t>
  </si>
  <si>
    <t xml:space="preserve">oprava komunikace po přeložce </t>
  </si>
  <si>
    <t>Kulturní akce obec</t>
  </si>
  <si>
    <t>pouťový koncert Vyskytná</t>
  </si>
  <si>
    <t>pouť Vyskytná ostatní</t>
  </si>
  <si>
    <t>pouť Jiřín</t>
  </si>
  <si>
    <t>Silvestrovský ohňostroj Vyskytná</t>
  </si>
  <si>
    <t>Silvestrovský ohňostroj Jiřín</t>
  </si>
  <si>
    <t>propagační předměty obec</t>
  </si>
  <si>
    <t>výlet</t>
  </si>
  <si>
    <t>Halloween</t>
  </si>
  <si>
    <t>zpívání v kostele</t>
  </si>
  <si>
    <t>divadlo ZŠ</t>
  </si>
  <si>
    <t>vystoupení pro občany</t>
  </si>
  <si>
    <t>pralesní liga</t>
  </si>
  <si>
    <t>Apalucha</t>
  </si>
  <si>
    <t>masopust</t>
  </si>
  <si>
    <t>přeložka sloupu</t>
  </si>
  <si>
    <t>zvoneček</t>
  </si>
  <si>
    <t>oprava svahu u hřiště</t>
  </si>
  <si>
    <t>velikonoční tvoření</t>
  </si>
  <si>
    <t>Halloween - lampionový průvod</t>
  </si>
  <si>
    <t>pamětní listy</t>
  </si>
  <si>
    <t>vinobraní</t>
  </si>
  <si>
    <t>ostatní akce</t>
  </si>
  <si>
    <t>neobdržel jsem požadavek</t>
  </si>
  <si>
    <t>je zhotoven projekt !!! Zavření tělocvičny</t>
  </si>
  <si>
    <t>projekt parcely</t>
  </si>
  <si>
    <t>žádost o mimořádnou dotaci Kraj</t>
  </si>
  <si>
    <t>stav k 31.10.2017</t>
  </si>
  <si>
    <t>Zrušený odvod z provozování loterií</t>
  </si>
  <si>
    <t>Daň z hazardních her</t>
  </si>
  <si>
    <t>Příjmy z poskytování služeb</t>
  </si>
  <si>
    <t xml:space="preserve">rezerva kanalizace </t>
  </si>
  <si>
    <t>odměna stavební dozor, opravy pozemků</t>
  </si>
  <si>
    <t>Stroje, zařízení</t>
  </si>
  <si>
    <t>Volby do parlamentu</t>
  </si>
  <si>
    <t>opravy a údržby</t>
  </si>
  <si>
    <t>daňe krajím, obcím</t>
  </si>
  <si>
    <t>2019</t>
  </si>
  <si>
    <t>maškarní odpoledne</t>
  </si>
  <si>
    <t xml:space="preserve">vánocení </t>
  </si>
  <si>
    <t>NE</t>
  </si>
  <si>
    <t>průzkum nové zdroje vody</t>
  </si>
  <si>
    <t>70% dotace</t>
  </si>
  <si>
    <t>oprava hráze rybníka náves</t>
  </si>
  <si>
    <t>oprava jezírka na návsi</t>
  </si>
  <si>
    <t>požadavek 13 tis.</t>
  </si>
  <si>
    <t>požadavek 10 tis.Kč</t>
  </si>
  <si>
    <t>požadavek 2 000</t>
  </si>
  <si>
    <t>požadavek 2 700 Kč</t>
  </si>
  <si>
    <t>požadavek 15 300 Kč</t>
  </si>
  <si>
    <t>požadavek 27 870 Kč</t>
  </si>
  <si>
    <t>komplet rekonstrukce kaple (střecha + omítky)</t>
  </si>
  <si>
    <t>vrt u hřiště na vodu</t>
  </si>
  <si>
    <t>výměna osvětlení sál</t>
  </si>
  <si>
    <t>betonování desky pro požární sport na hřišti + terče</t>
  </si>
  <si>
    <t>výměna + oprava topení hospoda + okna WC</t>
  </si>
  <si>
    <t>oprava stolů +židle sál</t>
  </si>
  <si>
    <t>2019 , 90% dotace</t>
  </si>
  <si>
    <t>dotace Kraj + AGF 60%</t>
  </si>
  <si>
    <t xml:space="preserve"> dotaei Kraj + AGF 60%</t>
  </si>
  <si>
    <t>dotaci MMR 60%</t>
  </si>
  <si>
    <t>dotace 120 tis.Kč</t>
  </si>
  <si>
    <t>celkem bez dotací</t>
  </si>
  <si>
    <t>celkem s dotací</t>
  </si>
  <si>
    <t>dotace 23 000</t>
  </si>
  <si>
    <t>nová moštárna + zázemí</t>
  </si>
  <si>
    <t>pralesní liga Jiřín</t>
  </si>
  <si>
    <t>masopust VnJ</t>
  </si>
  <si>
    <t>divadlo škola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</si>
</sst>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[$-405]#,##0.00"/>
    <numFmt numFmtId="166" formatCode="[$-405]0.00"/>
    <numFmt numFmtId="167" formatCode="#,##0&quot;   &quot;"/>
    <numFmt numFmtId="168" formatCode="#,##0&quot; &quot;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116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Arial CE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b/>
      <sz val="14"/>
      <color indexed="8"/>
      <name val="Arial CE"/>
      <family val="0"/>
    </font>
    <font>
      <b/>
      <sz val="14"/>
      <color indexed="10"/>
      <name val="Arial"/>
      <family val="2"/>
    </font>
    <font>
      <i/>
      <sz val="12"/>
      <color indexed="8"/>
      <name val="Arial CE"/>
      <family val="0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 CE1"/>
      <family val="0"/>
    </font>
    <font>
      <b/>
      <sz val="10"/>
      <color indexed="8"/>
      <name val="Arial CE1"/>
      <family val="0"/>
    </font>
    <font>
      <b/>
      <i/>
      <sz val="12"/>
      <color indexed="8"/>
      <name val="Arial CE1"/>
      <family val="0"/>
    </font>
    <font>
      <b/>
      <sz val="12"/>
      <color indexed="8"/>
      <name val="Arial CE1"/>
      <family val="0"/>
    </font>
    <font>
      <sz val="12"/>
      <color indexed="8"/>
      <name val="Arial CE1"/>
      <family val="0"/>
    </font>
    <font>
      <b/>
      <i/>
      <sz val="12"/>
      <color indexed="8"/>
      <name val="Arial CE"/>
      <family val="0"/>
    </font>
    <font>
      <sz val="12"/>
      <color indexed="10"/>
      <name val="Arial CE"/>
      <family val="0"/>
    </font>
    <font>
      <sz val="14"/>
      <color indexed="8"/>
      <name val="Arial CE"/>
      <family val="0"/>
    </font>
    <font>
      <sz val="11"/>
      <color indexed="10"/>
      <name val="Arial"/>
      <family val="2"/>
    </font>
    <font>
      <b/>
      <sz val="16"/>
      <color indexed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10"/>
      <name val="Arial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24"/>
      <color rgb="FF000000"/>
      <name val="Arial"/>
      <family val="2"/>
    </font>
    <font>
      <b/>
      <sz val="28"/>
      <color rgb="FF000000"/>
      <name val="Arial"/>
      <family val="2"/>
    </font>
    <font>
      <b/>
      <sz val="18"/>
      <color rgb="FF000000"/>
      <name val="Arial CE"/>
      <family val="0"/>
    </font>
    <font>
      <b/>
      <sz val="10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"/>
      <family val="2"/>
    </font>
    <font>
      <sz val="12"/>
      <color rgb="FF000000"/>
      <name val="Arial CE"/>
      <family val="0"/>
    </font>
    <font>
      <b/>
      <sz val="14"/>
      <color rgb="FF000000"/>
      <name val="Arial CE"/>
      <family val="0"/>
    </font>
    <font>
      <b/>
      <sz val="14"/>
      <color rgb="FFFF0000"/>
      <name val="Arial"/>
      <family val="2"/>
    </font>
    <font>
      <i/>
      <sz val="12"/>
      <color rgb="FF000000"/>
      <name val="Arial CE"/>
      <family val="0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000000"/>
      <name val="Arial CE1"/>
      <family val="0"/>
    </font>
    <font>
      <b/>
      <sz val="10"/>
      <color rgb="FF000000"/>
      <name val="Arial CE1"/>
      <family val="0"/>
    </font>
    <font>
      <b/>
      <i/>
      <sz val="12"/>
      <color rgb="FF000000"/>
      <name val="Arial CE1"/>
      <family val="0"/>
    </font>
    <font>
      <b/>
      <sz val="12"/>
      <color rgb="FF000000"/>
      <name val="Arial CE1"/>
      <family val="0"/>
    </font>
    <font>
      <sz val="12"/>
      <color rgb="FF000000"/>
      <name val="Arial CE1"/>
      <family val="0"/>
    </font>
    <font>
      <b/>
      <i/>
      <sz val="12"/>
      <color rgb="FF000000"/>
      <name val="Arial CE"/>
      <family val="0"/>
    </font>
    <font>
      <sz val="12"/>
      <color rgb="FFFF0000"/>
      <name val="Arial CE"/>
      <family val="0"/>
    </font>
    <font>
      <sz val="14"/>
      <color rgb="FF000000"/>
      <name val="Arial CE"/>
      <family val="0"/>
    </font>
    <font>
      <sz val="11"/>
      <color rgb="FFFF0000"/>
      <name val="Arial"/>
      <family val="2"/>
    </font>
    <font>
      <b/>
      <sz val="16"/>
      <color rgb="FF000000"/>
      <name val="Arial CE"/>
      <family val="0"/>
    </font>
    <font>
      <b/>
      <sz val="12"/>
      <color rgb="FFFF0000"/>
      <name val="Arial CE"/>
      <family val="0"/>
    </font>
    <font>
      <b/>
      <sz val="14"/>
      <color rgb="FFFF0000"/>
      <name val="Arial CE"/>
      <family val="0"/>
    </font>
    <font>
      <sz val="10"/>
      <color rgb="FFFF0000"/>
      <name val="Arial CE"/>
      <family val="0"/>
    </font>
    <font>
      <b/>
      <sz val="16"/>
      <color rgb="FFFF0000"/>
      <name val="Arial"/>
      <family val="2"/>
    </font>
    <font>
      <b/>
      <sz val="18"/>
      <color rgb="FFFF0000"/>
      <name val="Arial CE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/>
    </border>
    <border>
      <left>
        <color indexed="63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64" fontId="64" fillId="0" borderId="0" applyBorder="0" applyProtection="0">
      <alignment/>
    </xf>
    <xf numFmtId="0" fontId="65" fillId="0" borderId="0" applyNumberFormat="0" applyBorder="0" applyProtection="0">
      <alignment horizontal="center"/>
    </xf>
    <xf numFmtId="0" fontId="65" fillId="0" borderId="0" applyNumberFormat="0" applyBorder="0" applyProtection="0">
      <alignment horizontal="center" textRotation="90"/>
    </xf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0" applyNumberFormat="0" applyBorder="0" applyProtection="0">
      <alignment/>
    </xf>
    <xf numFmtId="0" fontId="75" fillId="0" borderId="0" applyNumberFormat="0" applyBorder="0" applyProtection="0">
      <alignment/>
    </xf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8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3" fontId="84" fillId="0" borderId="0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3" fontId="84" fillId="0" borderId="0" xfId="0" applyNumberFormat="1" applyFont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64" fontId="87" fillId="0" borderId="14" xfId="36" applyFont="1" applyFill="1" applyBorder="1" applyAlignment="1">
      <alignment horizontal="center" vertical="center"/>
    </xf>
    <xf numFmtId="0" fontId="88" fillId="34" borderId="15" xfId="0" applyFont="1" applyFill="1" applyBorder="1" applyAlignment="1">
      <alignment horizontal="center" vertical="center"/>
    </xf>
    <xf numFmtId="0" fontId="88" fillId="34" borderId="16" xfId="0" applyFont="1" applyFill="1" applyBorder="1" applyAlignment="1">
      <alignment horizontal="center" vertical="center"/>
    </xf>
    <xf numFmtId="0" fontId="89" fillId="34" borderId="16" xfId="0" applyFont="1" applyFill="1" applyBorder="1" applyAlignment="1">
      <alignment horizontal="left" vertical="center"/>
    </xf>
    <xf numFmtId="4" fontId="88" fillId="34" borderId="17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18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0" fontId="90" fillId="0" borderId="19" xfId="0" applyFont="1" applyBorder="1" applyAlignment="1">
      <alignment/>
    </xf>
    <xf numFmtId="3" fontId="90" fillId="0" borderId="20" xfId="0" applyNumberFormat="1" applyFont="1" applyBorder="1" applyAlignment="1">
      <alignment/>
    </xf>
    <xf numFmtId="3" fontId="91" fillId="0" borderId="20" xfId="0" applyNumberFormat="1" applyFont="1" applyBorder="1" applyAlignment="1">
      <alignment/>
    </xf>
    <xf numFmtId="0" fontId="90" fillId="0" borderId="21" xfId="0" applyFont="1" applyBorder="1" applyAlignment="1">
      <alignment horizontal="center"/>
    </xf>
    <xf numFmtId="0" fontId="90" fillId="34" borderId="22" xfId="0" applyFont="1" applyFill="1" applyBorder="1" applyAlignment="1">
      <alignment horizontal="center"/>
    </xf>
    <xf numFmtId="0" fontId="92" fillId="34" borderId="22" xfId="0" applyFont="1" applyFill="1" applyBorder="1" applyAlignment="1">
      <alignment horizontal="left" vertical="center"/>
    </xf>
    <xf numFmtId="168" fontId="92" fillId="34" borderId="23" xfId="0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center"/>
    </xf>
    <xf numFmtId="0" fontId="92" fillId="0" borderId="0" xfId="0" applyFont="1" applyAlignment="1">
      <alignment horizontal="center" vertical="center"/>
    </xf>
    <xf numFmtId="168" fontId="92" fillId="0" borderId="0" xfId="0" applyNumberFormat="1" applyFont="1" applyAlignment="1">
      <alignment horizontal="right" vertical="center"/>
    </xf>
    <xf numFmtId="167" fontId="93" fillId="0" borderId="0" xfId="0" applyNumberFormat="1" applyFont="1" applyAlignment="1">
      <alignment horizontal="right" vertical="center"/>
    </xf>
    <xf numFmtId="0" fontId="90" fillId="34" borderId="15" xfId="0" applyFont="1" applyFill="1" applyBorder="1" applyAlignment="1">
      <alignment horizontal="center"/>
    </xf>
    <xf numFmtId="0" fontId="90" fillId="34" borderId="16" xfId="0" applyFont="1" applyFill="1" applyBorder="1" applyAlignment="1">
      <alignment horizontal="center"/>
    </xf>
    <xf numFmtId="4" fontId="91" fillId="34" borderId="17" xfId="0" applyNumberFormat="1" applyFont="1" applyFill="1" applyBorder="1" applyAlignment="1">
      <alignment/>
    </xf>
    <xf numFmtId="0" fontId="90" fillId="0" borderId="19" xfId="0" applyFont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90" fillId="0" borderId="19" xfId="0" applyFont="1" applyBorder="1" applyAlignment="1">
      <alignment horizontal="left" wrapText="1"/>
    </xf>
    <xf numFmtId="0" fontId="94" fillId="0" borderId="19" xfId="0" applyFont="1" applyBorder="1" applyAlignment="1">
      <alignment/>
    </xf>
    <xf numFmtId="3" fontId="94" fillId="0" borderId="20" xfId="0" applyNumberFormat="1" applyFont="1" applyBorder="1" applyAlignment="1">
      <alignment/>
    </xf>
    <xf numFmtId="0" fontId="90" fillId="0" borderId="19" xfId="0" applyFont="1" applyBorder="1" applyAlignment="1">
      <alignment shrinkToFit="1"/>
    </xf>
    <xf numFmtId="0" fontId="90" fillId="0" borderId="19" xfId="0" applyFont="1" applyBorder="1" applyAlignment="1">
      <alignment horizontal="left"/>
    </xf>
    <xf numFmtId="0" fontId="95" fillId="34" borderId="21" xfId="0" applyFont="1" applyFill="1" applyBorder="1" applyAlignment="1">
      <alignment horizontal="center"/>
    </xf>
    <xf numFmtId="0" fontId="95" fillId="34" borderId="22" xfId="0" applyFont="1" applyFill="1" applyBorder="1" applyAlignment="1">
      <alignment horizontal="center"/>
    </xf>
    <xf numFmtId="3" fontId="92" fillId="34" borderId="23" xfId="0" applyNumberFormat="1" applyFont="1" applyFill="1" applyBorder="1" applyAlignment="1">
      <alignment/>
    </xf>
    <xf numFmtId="0" fontId="95" fillId="34" borderId="24" xfId="0" applyFont="1" applyFill="1" applyBorder="1" applyAlignment="1">
      <alignment horizontal="center"/>
    </xf>
    <xf numFmtId="0" fontId="95" fillId="34" borderId="25" xfId="0" applyFont="1" applyFill="1" applyBorder="1" applyAlignment="1">
      <alignment horizontal="center"/>
    </xf>
    <xf numFmtId="0" fontId="92" fillId="34" borderId="25" xfId="0" applyFont="1" applyFill="1" applyBorder="1" applyAlignment="1">
      <alignment horizontal="left" vertical="center"/>
    </xf>
    <xf numFmtId="3" fontId="92" fillId="34" borderId="26" xfId="0" applyNumberFormat="1" applyFont="1" applyFill="1" applyBorder="1" applyAlignment="1">
      <alignment/>
    </xf>
    <xf numFmtId="0" fontId="90" fillId="0" borderId="27" xfId="0" applyFont="1" applyBorder="1" applyAlignment="1">
      <alignment horizontal="center"/>
    </xf>
    <xf numFmtId="0" fontId="89" fillId="0" borderId="27" xfId="0" applyFont="1" applyBorder="1" applyAlignment="1">
      <alignment horizontal="center" vertical="center"/>
    </xf>
    <xf numFmtId="4" fontId="89" fillId="0" borderId="27" xfId="0" applyNumberFormat="1" applyFont="1" applyBorder="1" applyAlignment="1">
      <alignment/>
    </xf>
    <xf numFmtId="167" fontId="96" fillId="0" borderId="0" xfId="0" applyNumberFormat="1" applyFont="1" applyAlignment="1">
      <alignment/>
    </xf>
    <xf numFmtId="0" fontId="90" fillId="0" borderId="28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89" fillId="0" borderId="29" xfId="0" applyFont="1" applyBorder="1" applyAlignment="1">
      <alignment horizontal="left" vertical="center"/>
    </xf>
    <xf numFmtId="4" fontId="90" fillId="0" borderId="30" xfId="0" applyNumberFormat="1" applyFont="1" applyBorder="1" applyAlignment="1">
      <alignment/>
    </xf>
    <xf numFmtId="0" fontId="90" fillId="35" borderId="18" xfId="0" applyFont="1" applyFill="1" applyBorder="1" applyAlignment="1">
      <alignment horizontal="center"/>
    </xf>
    <xf numFmtId="0" fontId="90" fillId="35" borderId="19" xfId="0" applyFont="1" applyFill="1" applyBorder="1" applyAlignment="1">
      <alignment horizontal="center" vertical="center"/>
    </xf>
    <xf numFmtId="0" fontId="90" fillId="35" borderId="19" xfId="0" applyFont="1" applyFill="1" applyBorder="1" applyAlignment="1">
      <alignment/>
    </xf>
    <xf numFmtId="3" fontId="90" fillId="35" borderId="20" xfId="0" applyNumberFormat="1" applyFont="1" applyFill="1" applyBorder="1" applyAlignment="1">
      <alignment/>
    </xf>
    <xf numFmtId="0" fontId="90" fillId="0" borderId="19" xfId="0" applyFont="1" applyFill="1" applyBorder="1" applyAlignment="1">
      <alignment horizontal="center"/>
    </xf>
    <xf numFmtId="0" fontId="90" fillId="0" borderId="19" xfId="0" applyFont="1" applyFill="1" applyBorder="1" applyAlignment="1">
      <alignment/>
    </xf>
    <xf numFmtId="3" fontId="90" fillId="0" borderId="20" xfId="0" applyNumberFormat="1" applyFont="1" applyFill="1" applyBorder="1" applyAlignment="1">
      <alignment/>
    </xf>
    <xf numFmtId="3" fontId="90" fillId="0" borderId="20" xfId="0" applyNumberFormat="1" applyFont="1" applyFill="1" applyBorder="1" applyAlignment="1">
      <alignment horizontal="right" vertical="center"/>
    </xf>
    <xf numFmtId="0" fontId="90" fillId="0" borderId="19" xfId="0" applyFont="1" applyFill="1" applyBorder="1" applyAlignment="1">
      <alignment horizontal="center" vertical="center"/>
    </xf>
    <xf numFmtId="0" fontId="90" fillId="35" borderId="19" xfId="0" applyFont="1" applyFill="1" applyBorder="1" applyAlignment="1">
      <alignment horizontal="center"/>
    </xf>
    <xf numFmtId="0" fontId="90" fillId="35" borderId="19" xfId="0" applyFont="1" applyFill="1" applyBorder="1" applyAlignment="1">
      <alignment wrapText="1"/>
    </xf>
    <xf numFmtId="0" fontId="90" fillId="0" borderId="19" xfId="0" applyFont="1" applyBorder="1" applyAlignment="1">
      <alignment vertical="center"/>
    </xf>
    <xf numFmtId="0" fontId="90" fillId="0" borderId="19" xfId="0" applyFont="1" applyBorder="1" applyAlignment="1">
      <alignment horizontal="center" vertical="center" wrapText="1"/>
    </xf>
    <xf numFmtId="3" fontId="90" fillId="36" borderId="20" xfId="0" applyNumberFormat="1" applyFont="1" applyFill="1" applyBorder="1" applyAlignment="1">
      <alignment/>
    </xf>
    <xf numFmtId="0" fontId="90" fillId="36" borderId="31" xfId="0" applyFont="1" applyFill="1" applyBorder="1" applyAlignment="1">
      <alignment horizontal="center"/>
    </xf>
    <xf numFmtId="0" fontId="90" fillId="35" borderId="19" xfId="0" applyFont="1" applyFill="1" applyBorder="1" applyAlignment="1">
      <alignment horizontal="center" vertical="center" wrapText="1"/>
    </xf>
    <xf numFmtId="0" fontId="90" fillId="35" borderId="19" xfId="0" applyFont="1" applyFill="1" applyBorder="1" applyAlignment="1">
      <alignment horizontal="left" vertical="center" wrapText="1"/>
    </xf>
    <xf numFmtId="0" fontId="90" fillId="0" borderId="11" xfId="0" applyFont="1" applyBorder="1" applyAlignment="1">
      <alignment horizontal="center"/>
    </xf>
    <xf numFmtId="3" fontId="90" fillId="0" borderId="14" xfId="0" applyNumberFormat="1" applyFont="1" applyBorder="1" applyAlignment="1">
      <alignment/>
    </xf>
    <xf numFmtId="0" fontId="97" fillId="0" borderId="0" xfId="0" applyFont="1" applyAlignment="1">
      <alignment/>
    </xf>
    <xf numFmtId="0" fontId="97" fillId="0" borderId="21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2" fillId="0" borderId="22" xfId="0" applyFont="1" applyBorder="1" applyAlignment="1">
      <alignment horizontal="left" vertical="center"/>
    </xf>
    <xf numFmtId="3" fontId="92" fillId="0" borderId="23" xfId="0" applyNumberFormat="1" applyFont="1" applyBorder="1" applyAlignment="1">
      <alignment/>
    </xf>
    <xf numFmtId="0" fontId="97" fillId="0" borderId="24" xfId="0" applyFont="1" applyBorder="1" applyAlignment="1">
      <alignment horizontal="center"/>
    </xf>
    <xf numFmtId="0" fontId="97" fillId="0" borderId="25" xfId="0" applyFont="1" applyBorder="1" applyAlignment="1">
      <alignment horizontal="center"/>
    </xf>
    <xf numFmtId="0" fontId="97" fillId="0" borderId="25" xfId="0" applyFont="1" applyBorder="1" applyAlignment="1">
      <alignment horizontal="left" vertical="center"/>
    </xf>
    <xf numFmtId="3" fontId="97" fillId="0" borderId="26" xfId="0" applyNumberFormat="1" applyFont="1" applyBorder="1" applyAlignment="1">
      <alignment/>
    </xf>
    <xf numFmtId="0" fontId="97" fillId="0" borderId="32" xfId="0" applyFont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92" fillId="0" borderId="33" xfId="0" applyFont="1" applyBorder="1" applyAlignment="1">
      <alignment horizontal="left" vertical="center"/>
    </xf>
    <xf numFmtId="3" fontId="92" fillId="0" borderId="34" xfId="0" applyNumberFormat="1" applyFont="1" applyBorder="1" applyAlignment="1">
      <alignment/>
    </xf>
    <xf numFmtId="3" fontId="96" fillId="37" borderId="35" xfId="0" applyNumberFormat="1" applyFont="1" applyFill="1" applyBorder="1" applyAlignment="1">
      <alignment/>
    </xf>
    <xf numFmtId="3" fontId="96" fillId="0" borderId="35" xfId="0" applyNumberFormat="1" applyFont="1" applyBorder="1" applyAlignment="1">
      <alignment/>
    </xf>
    <xf numFmtId="0" fontId="90" fillId="36" borderId="11" xfId="0" applyFont="1" applyFill="1" applyBorder="1" applyAlignment="1">
      <alignment horizontal="center"/>
    </xf>
    <xf numFmtId="0" fontId="90" fillId="36" borderId="11" xfId="0" applyFont="1" applyFill="1" applyBorder="1" applyAlignment="1">
      <alignment/>
    </xf>
    <xf numFmtId="3" fontId="90" fillId="36" borderId="14" xfId="0" applyNumberFormat="1" applyFont="1" applyFill="1" applyBorder="1" applyAlignment="1">
      <alignment/>
    </xf>
    <xf numFmtId="0" fontId="90" fillId="35" borderId="29" xfId="0" applyFont="1" applyFill="1" applyBorder="1" applyAlignment="1">
      <alignment horizontal="center" vertical="center"/>
    </xf>
    <xf numFmtId="0" fontId="90" fillId="35" borderId="29" xfId="0" applyFont="1" applyFill="1" applyBorder="1" applyAlignment="1">
      <alignment vertical="center" wrapText="1"/>
    </xf>
    <xf numFmtId="3" fontId="90" fillId="35" borderId="30" xfId="0" applyNumberFormat="1" applyFont="1" applyFill="1" applyBorder="1" applyAlignment="1">
      <alignment/>
    </xf>
    <xf numFmtId="0" fontId="90" fillId="37" borderId="36" xfId="0" applyFont="1" applyFill="1" applyBorder="1" applyAlignment="1">
      <alignment vertical="center"/>
    </xf>
    <xf numFmtId="0" fontId="90" fillId="37" borderId="37" xfId="0" applyFont="1" applyFill="1" applyBorder="1" applyAlignment="1">
      <alignment horizontal="center" vertical="center"/>
    </xf>
    <xf numFmtId="0" fontId="90" fillId="37" borderId="37" xfId="0" applyFont="1" applyFill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left" vertical="center" wrapText="1"/>
    </xf>
    <xf numFmtId="0" fontId="98" fillId="0" borderId="10" xfId="0" applyFont="1" applyBorder="1" applyAlignment="1">
      <alignment/>
    </xf>
    <xf numFmtId="3" fontId="98" fillId="0" borderId="10" xfId="0" applyNumberFormat="1" applyFont="1" applyBorder="1" applyAlignment="1">
      <alignment/>
    </xf>
    <xf numFmtId="49" fontId="98" fillId="0" borderId="10" xfId="0" applyNumberFormat="1" applyFont="1" applyBorder="1" applyAlignment="1">
      <alignment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49" fontId="0" fillId="16" borderId="10" xfId="0" applyNumberFormat="1" applyFill="1" applyBorder="1" applyAlignment="1">
      <alignment/>
    </xf>
    <xf numFmtId="3" fontId="8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84" fillId="0" borderId="10" xfId="0" applyFont="1" applyBorder="1" applyAlignment="1">
      <alignment/>
    </xf>
    <xf numFmtId="0" fontId="84" fillId="0" borderId="0" xfId="0" applyFont="1" applyAlignment="1">
      <alignment/>
    </xf>
    <xf numFmtId="17" fontId="0" fillId="0" borderId="10" xfId="0" applyNumberFormat="1" applyBorder="1" applyAlignment="1">
      <alignment/>
    </xf>
    <xf numFmtId="3" fontId="99" fillId="0" borderId="0" xfId="0" applyNumberFormat="1" applyFont="1" applyBorder="1" applyAlignment="1">
      <alignment/>
    </xf>
    <xf numFmtId="0" fontId="99" fillId="0" borderId="0" xfId="0" applyFont="1" applyBorder="1" applyAlignment="1">
      <alignment/>
    </xf>
    <xf numFmtId="0" fontId="0" fillId="0" borderId="0" xfId="0" applyFont="1" applyAlignment="1">
      <alignment/>
    </xf>
    <xf numFmtId="164" fontId="100" fillId="0" borderId="11" xfId="36" applyFont="1" applyFill="1" applyBorder="1" applyAlignment="1">
      <alignment horizontal="center" vertical="center"/>
    </xf>
    <xf numFmtId="164" fontId="101" fillId="0" borderId="11" xfId="36" applyFont="1" applyFill="1" applyBorder="1" applyAlignment="1">
      <alignment horizontal="center" vertical="center"/>
    </xf>
    <xf numFmtId="164" fontId="87" fillId="0" borderId="14" xfId="36" applyFont="1" applyFill="1" applyBorder="1" applyAlignment="1">
      <alignment horizontal="center" vertical="center"/>
    </xf>
    <xf numFmtId="3" fontId="102" fillId="35" borderId="40" xfId="36" applyNumberFormat="1" applyFont="1" applyFill="1" applyBorder="1" applyAlignment="1">
      <alignment horizontal="left" shrinkToFit="1"/>
    </xf>
    <xf numFmtId="164" fontId="91" fillId="35" borderId="19" xfId="36" applyFont="1" applyFill="1" applyBorder="1" applyAlignment="1">
      <alignment horizontal="center" vertical="center"/>
    </xf>
    <xf numFmtId="164" fontId="91" fillId="35" borderId="19" xfId="36" applyFont="1" applyFill="1" applyBorder="1" applyAlignment="1">
      <alignment/>
    </xf>
    <xf numFmtId="3" fontId="91" fillId="35" borderId="20" xfId="36" applyNumberFormat="1" applyFont="1" applyFill="1" applyBorder="1" applyAlignment="1">
      <alignment/>
    </xf>
    <xf numFmtId="164" fontId="103" fillId="35" borderId="19" xfId="36" applyFont="1" applyFill="1" applyBorder="1" applyAlignment="1">
      <alignment/>
    </xf>
    <xf numFmtId="3" fontId="89" fillId="35" borderId="20" xfId="36" applyNumberFormat="1" applyFont="1" applyFill="1" applyBorder="1" applyAlignment="1">
      <alignment/>
    </xf>
    <xf numFmtId="164" fontId="91" fillId="35" borderId="22" xfId="36" applyFont="1" applyFill="1" applyBorder="1" applyAlignment="1">
      <alignment horizontal="center" vertical="center"/>
    </xf>
    <xf numFmtId="164" fontId="91" fillId="35" borderId="22" xfId="36" applyFont="1" applyFill="1" applyBorder="1" applyAlignment="1">
      <alignment/>
    </xf>
    <xf numFmtId="3" fontId="91" fillId="35" borderId="23" xfId="36" applyNumberFormat="1" applyFont="1" applyFill="1" applyBorder="1" applyAlignment="1">
      <alignment/>
    </xf>
    <xf numFmtId="3" fontId="102" fillId="0" borderId="40" xfId="36" applyNumberFormat="1" applyFont="1" applyFill="1" applyBorder="1" applyAlignment="1">
      <alignment horizontal="left"/>
    </xf>
    <xf numFmtId="164" fontId="102" fillId="0" borderId="28" xfId="36" applyFont="1" applyFill="1" applyBorder="1" applyAlignment="1">
      <alignment horizontal="left"/>
    </xf>
    <xf numFmtId="164" fontId="104" fillId="0" borderId="29" xfId="36" applyFont="1" applyFill="1" applyBorder="1" applyAlignment="1">
      <alignment horizontal="left"/>
    </xf>
    <xf numFmtId="3" fontId="104" fillId="0" borderId="41" xfId="36" applyNumberFormat="1" applyFont="1" applyFill="1" applyBorder="1" applyAlignment="1">
      <alignment horizontal="right"/>
    </xf>
    <xf numFmtId="164" fontId="91" fillId="0" borderId="19" xfId="36" applyFont="1" applyFill="1" applyBorder="1" applyAlignment="1">
      <alignment horizontal="center" vertical="center"/>
    </xf>
    <xf numFmtId="164" fontId="91" fillId="0" borderId="19" xfId="36" applyFont="1" applyFill="1" applyBorder="1" applyAlignment="1">
      <alignment/>
    </xf>
    <xf numFmtId="3" fontId="91" fillId="0" borderId="20" xfId="36" applyNumberFormat="1" applyFont="1" applyFill="1" applyBorder="1" applyAlignment="1">
      <alignment/>
    </xf>
    <xf numFmtId="164" fontId="103" fillId="0" borderId="19" xfId="36" applyFont="1" applyFill="1" applyBorder="1" applyAlignment="1">
      <alignment/>
    </xf>
    <xf numFmtId="3" fontId="89" fillId="37" borderId="20" xfId="36" applyNumberFormat="1" applyFont="1" applyFill="1" applyBorder="1" applyAlignment="1">
      <alignment/>
    </xf>
    <xf numFmtId="164" fontId="91" fillId="0" borderId="22" xfId="36" applyFont="1" applyFill="1" applyBorder="1" applyAlignment="1">
      <alignment horizontal="center" vertical="center"/>
    </xf>
    <xf numFmtId="164" fontId="91" fillId="0" borderId="22" xfId="36" applyFont="1" applyFill="1" applyBorder="1" applyAlignment="1">
      <alignment/>
    </xf>
    <xf numFmtId="3" fontId="91" fillId="0" borderId="23" xfId="36" applyNumberFormat="1" applyFont="1" applyFill="1" applyBorder="1" applyAlignment="1">
      <alignment/>
    </xf>
    <xf numFmtId="164" fontId="105" fillId="35" borderId="42" xfId="36" applyFont="1" applyFill="1" applyBorder="1" applyAlignment="1">
      <alignment horizontal="left" vertical="center"/>
    </xf>
    <xf numFmtId="164" fontId="91" fillId="35" borderId="16" xfId="36" applyFont="1" applyFill="1" applyBorder="1" applyAlignment="1">
      <alignment horizontal="left" vertical="center"/>
    </xf>
    <xf numFmtId="3" fontId="91" fillId="35" borderId="17" xfId="36" applyNumberFormat="1" applyFont="1" applyFill="1" applyBorder="1" applyAlignment="1">
      <alignment horizontal="left" vertical="center"/>
    </xf>
    <xf numFmtId="164" fontId="89" fillId="35" borderId="19" xfId="36" applyFont="1" applyFill="1" applyBorder="1" applyAlignment="1">
      <alignment/>
    </xf>
    <xf numFmtId="164" fontId="91" fillId="0" borderId="19" xfId="36" applyFont="1" applyFill="1" applyBorder="1" applyAlignment="1">
      <alignment wrapText="1"/>
    </xf>
    <xf numFmtId="164" fontId="91" fillId="0" borderId="19" xfId="36" applyFont="1" applyFill="1" applyBorder="1" applyAlignment="1">
      <alignment vertical="center" wrapText="1"/>
    </xf>
    <xf numFmtId="3" fontId="91" fillId="0" borderId="20" xfId="36" applyNumberFormat="1" applyFont="1" applyFill="1" applyBorder="1" applyAlignment="1">
      <alignment vertical="center"/>
    </xf>
    <xf numFmtId="3" fontId="102" fillId="35" borderId="40" xfId="36" applyNumberFormat="1" applyFont="1" applyFill="1" applyBorder="1" applyAlignment="1">
      <alignment horizontal="left"/>
    </xf>
    <xf numFmtId="164" fontId="102" fillId="35" borderId="43" xfId="36" applyFont="1" applyFill="1" applyBorder="1" applyAlignment="1">
      <alignment horizontal="left"/>
    </xf>
    <xf numFmtId="164" fontId="91" fillId="35" borderId="19" xfId="36" applyFont="1" applyFill="1" applyBorder="1" applyAlignment="1">
      <alignment vertical="center" wrapText="1"/>
    </xf>
    <xf numFmtId="164" fontId="103" fillId="0" borderId="42" xfId="36" applyFont="1" applyFill="1" applyBorder="1" applyAlignment="1">
      <alignment/>
    </xf>
    <xf numFmtId="164" fontId="103" fillId="0" borderId="40" xfId="36" applyFont="1" applyFill="1" applyBorder="1" applyAlignment="1">
      <alignment/>
    </xf>
    <xf numFmtId="164" fontId="103" fillId="0" borderId="44" xfId="36" applyFont="1" applyFill="1" applyBorder="1" applyAlignment="1">
      <alignment/>
    </xf>
    <xf numFmtId="3" fontId="103" fillId="0" borderId="40" xfId="36" applyNumberFormat="1" applyFont="1" applyFill="1" applyBorder="1" applyAlignment="1">
      <alignment horizontal="left"/>
    </xf>
    <xf numFmtId="164" fontId="91" fillId="0" borderId="19" xfId="36" applyFont="1" applyFill="1" applyBorder="1" applyAlignment="1">
      <alignment vertical="center"/>
    </xf>
    <xf numFmtId="164" fontId="91" fillId="0" borderId="24" xfId="36" applyFont="1" applyFill="1" applyBorder="1" applyAlignment="1">
      <alignment horizontal="center" vertical="center"/>
    </xf>
    <xf numFmtId="3" fontId="91" fillId="35" borderId="40" xfId="36" applyNumberFormat="1" applyFont="1" applyFill="1" applyBorder="1" applyAlignment="1">
      <alignment horizontal="right"/>
    </xf>
    <xf numFmtId="164" fontId="91" fillId="35" borderId="45" xfId="36" applyFont="1" applyFill="1" applyBorder="1" applyAlignment="1">
      <alignment horizontal="left"/>
    </xf>
    <xf numFmtId="3" fontId="91" fillId="35" borderId="46" xfId="36" applyNumberFormat="1" applyFont="1" applyFill="1" applyBorder="1" applyAlignment="1">
      <alignment horizontal="right"/>
    </xf>
    <xf numFmtId="3" fontId="91" fillId="36" borderId="20" xfId="36" applyNumberFormat="1" applyFont="1" applyFill="1" applyBorder="1" applyAlignment="1">
      <alignment horizontal="right"/>
    </xf>
    <xf numFmtId="3" fontId="91" fillId="35" borderId="20" xfId="36" applyNumberFormat="1" applyFont="1" applyFill="1" applyBorder="1" applyAlignment="1">
      <alignment horizontal="right"/>
    </xf>
    <xf numFmtId="164" fontId="91" fillId="36" borderId="19" xfId="36" applyFont="1" applyFill="1" applyBorder="1" applyAlignment="1">
      <alignment horizontal="center" vertical="center"/>
    </xf>
    <xf numFmtId="3" fontId="91" fillId="36" borderId="17" xfId="36" applyNumberFormat="1" applyFont="1" applyFill="1" applyBorder="1" applyAlignment="1">
      <alignment/>
    </xf>
    <xf numFmtId="3" fontId="103" fillId="35" borderId="20" xfId="36" applyNumberFormat="1" applyFont="1" applyFill="1" applyBorder="1" applyAlignment="1">
      <alignment/>
    </xf>
    <xf numFmtId="164" fontId="91" fillId="35" borderId="11" xfId="36" applyFont="1" applyFill="1" applyBorder="1" applyAlignment="1">
      <alignment horizontal="center" vertical="center"/>
    </xf>
    <xf numFmtId="164" fontId="91" fillId="35" borderId="11" xfId="36" applyFont="1" applyFill="1" applyBorder="1" applyAlignment="1">
      <alignment/>
    </xf>
    <xf numFmtId="3" fontId="91" fillId="35" borderId="14" xfId="36" applyNumberFormat="1" applyFont="1" applyFill="1" applyBorder="1" applyAlignment="1">
      <alignment/>
    </xf>
    <xf numFmtId="164" fontId="91" fillId="37" borderId="19" xfId="36" applyFont="1" applyFill="1" applyBorder="1" applyAlignment="1">
      <alignment horizontal="center" vertical="center"/>
    </xf>
    <xf numFmtId="164" fontId="91" fillId="37" borderId="19" xfId="36" applyFont="1" applyFill="1" applyBorder="1" applyAlignment="1">
      <alignment/>
    </xf>
    <xf numFmtId="164" fontId="89" fillId="37" borderId="19" xfId="36" applyFont="1" applyFill="1" applyBorder="1" applyAlignment="1">
      <alignment/>
    </xf>
    <xf numFmtId="164" fontId="91" fillId="37" borderId="22" xfId="36" applyFont="1" applyFill="1" applyBorder="1" applyAlignment="1">
      <alignment horizontal="center" vertical="center"/>
    </xf>
    <xf numFmtId="164" fontId="89" fillId="37" borderId="22" xfId="36" applyFont="1" applyFill="1" applyBorder="1" applyAlignment="1">
      <alignment/>
    </xf>
    <xf numFmtId="164" fontId="91" fillId="0" borderId="0" xfId="36" applyFont="1" applyFill="1" applyAlignment="1">
      <alignment horizontal="center" vertical="center"/>
    </xf>
    <xf numFmtId="164" fontId="89" fillId="0" borderId="0" xfId="36" applyFont="1" applyFill="1" applyAlignment="1">
      <alignment/>
    </xf>
    <xf numFmtId="3" fontId="91" fillId="0" borderId="0" xfId="36" applyNumberFormat="1" applyFont="1" applyFill="1" applyAlignment="1">
      <alignment/>
    </xf>
    <xf numFmtId="3" fontId="106" fillId="0" borderId="0" xfId="36" applyNumberFormat="1" applyFont="1" applyFill="1" applyAlignment="1">
      <alignment/>
    </xf>
    <xf numFmtId="3" fontId="105" fillId="0" borderId="40" xfId="36" applyNumberFormat="1" applyFont="1" applyFill="1" applyBorder="1" applyAlignment="1">
      <alignment horizontal="left"/>
    </xf>
    <xf numFmtId="3" fontId="91" fillId="0" borderId="20" xfId="36" applyNumberFormat="1" applyFont="1" applyFill="1" applyBorder="1" applyAlignment="1">
      <alignment horizontal="right" vertical="center"/>
    </xf>
    <xf numFmtId="3" fontId="91" fillId="0" borderId="30" xfId="36" applyNumberFormat="1" applyFont="1" applyFill="1" applyBorder="1" applyAlignment="1">
      <alignment vertical="center"/>
    </xf>
    <xf numFmtId="3" fontId="105" fillId="35" borderId="40" xfId="36" applyNumberFormat="1" applyFont="1" applyFill="1" applyBorder="1" applyAlignment="1">
      <alignment horizontal="left"/>
    </xf>
    <xf numFmtId="164" fontId="91" fillId="36" borderId="19" xfId="36" applyFont="1" applyFill="1" applyBorder="1" applyAlignment="1">
      <alignment/>
    </xf>
    <xf numFmtId="3" fontId="91" fillId="36" borderId="20" xfId="36" applyNumberFormat="1" applyFont="1" applyFill="1" applyBorder="1" applyAlignment="1">
      <alignment/>
    </xf>
    <xf numFmtId="164" fontId="91" fillId="0" borderId="19" xfId="36" applyFont="1" applyFill="1" applyBorder="1" applyAlignment="1">
      <alignment horizontal="left" vertical="center" wrapText="1"/>
    </xf>
    <xf numFmtId="164" fontId="103" fillId="0" borderId="22" xfId="36" applyFont="1" applyFill="1" applyBorder="1" applyAlignment="1">
      <alignment/>
    </xf>
    <xf numFmtId="3" fontId="103" fillId="0" borderId="23" xfId="36" applyNumberFormat="1" applyFont="1" applyFill="1" applyBorder="1" applyAlignment="1">
      <alignment/>
    </xf>
    <xf numFmtId="3" fontId="102" fillId="35" borderId="0" xfId="36" applyNumberFormat="1" applyFont="1" applyFill="1" applyAlignment="1">
      <alignment horizontal="left"/>
    </xf>
    <xf numFmtId="164" fontId="91" fillId="35" borderId="16" xfId="36" applyFont="1" applyFill="1" applyBorder="1" applyAlignment="1">
      <alignment horizontal="center" vertical="center"/>
    </xf>
    <xf numFmtId="164" fontId="91" fillId="35" borderId="16" xfId="36" applyFont="1" applyFill="1" applyBorder="1" applyAlignment="1">
      <alignment/>
    </xf>
    <xf numFmtId="3" fontId="91" fillId="35" borderId="17" xfId="36" applyNumberFormat="1" applyFont="1" applyFill="1" applyBorder="1" applyAlignment="1">
      <alignment/>
    </xf>
    <xf numFmtId="164" fontId="91" fillId="35" borderId="19" xfId="36" applyFont="1" applyFill="1" applyBorder="1" applyAlignment="1">
      <alignment wrapText="1"/>
    </xf>
    <xf numFmtId="164" fontId="103" fillId="37" borderId="19" xfId="36" applyFont="1" applyFill="1" applyBorder="1" applyAlignment="1">
      <alignment/>
    </xf>
    <xf numFmtId="164" fontId="91" fillId="35" borderId="45" xfId="36" applyFont="1" applyFill="1" applyBorder="1" applyAlignment="1">
      <alignment/>
    </xf>
    <xf numFmtId="3" fontId="91" fillId="35" borderId="46" xfId="36" applyNumberFormat="1" applyFont="1" applyFill="1" applyBorder="1" applyAlignment="1">
      <alignment/>
    </xf>
    <xf numFmtId="164" fontId="102" fillId="0" borderId="42" xfId="36" applyFont="1" applyFill="1" applyBorder="1" applyAlignment="1">
      <alignment horizontal="left"/>
    </xf>
    <xf numFmtId="164" fontId="102" fillId="0" borderId="40" xfId="36" applyFont="1" applyFill="1" applyBorder="1" applyAlignment="1">
      <alignment horizontal="left"/>
    </xf>
    <xf numFmtId="164" fontId="102" fillId="0" borderId="44" xfId="36" applyFont="1" applyFill="1" applyBorder="1" applyAlignment="1">
      <alignment horizontal="left"/>
    </xf>
    <xf numFmtId="3" fontId="103" fillId="37" borderId="20" xfId="36" applyNumberFormat="1" applyFont="1" applyFill="1" applyBorder="1" applyAlignment="1">
      <alignment/>
    </xf>
    <xf numFmtId="164" fontId="104" fillId="35" borderId="45" xfId="36" applyFont="1" applyFill="1" applyBorder="1" applyAlignment="1">
      <alignment horizontal="left"/>
    </xf>
    <xf numFmtId="3" fontId="104" fillId="35" borderId="46" xfId="36" applyNumberFormat="1" applyFont="1" applyFill="1" applyBorder="1" applyAlignment="1">
      <alignment horizontal="right"/>
    </xf>
    <xf numFmtId="164" fontId="91" fillId="35" borderId="19" xfId="36" applyFont="1" applyFill="1" applyBorder="1" applyAlignment="1">
      <alignment horizontal="left" vertical="center" wrapText="1"/>
    </xf>
    <xf numFmtId="3" fontId="91" fillId="35" borderId="46" xfId="36" applyNumberFormat="1" applyFont="1" applyFill="1" applyBorder="1" applyAlignment="1">
      <alignment horizontal="right" vertical="center"/>
    </xf>
    <xf numFmtId="164" fontId="91" fillId="35" borderId="19" xfId="36" applyFont="1" applyFill="1" applyBorder="1" applyAlignment="1">
      <alignment vertical="center"/>
    </xf>
    <xf numFmtId="3" fontId="89" fillId="37" borderId="23" xfId="36" applyNumberFormat="1" applyFont="1" applyFill="1" applyBorder="1" applyAlignment="1">
      <alignment/>
    </xf>
    <xf numFmtId="164" fontId="102" fillId="35" borderId="42" xfId="36" applyFont="1" applyFill="1" applyBorder="1" applyAlignment="1">
      <alignment/>
    </xf>
    <xf numFmtId="164" fontId="102" fillId="35" borderId="40" xfId="36" applyFont="1" applyFill="1" applyBorder="1" applyAlignment="1">
      <alignment/>
    </xf>
    <xf numFmtId="164" fontId="102" fillId="35" borderId="44" xfId="36" applyFont="1" applyFill="1" applyBorder="1" applyAlignment="1">
      <alignment/>
    </xf>
    <xf numFmtId="164" fontId="103" fillId="35" borderId="22" xfId="36" applyFont="1" applyFill="1" applyBorder="1" applyAlignment="1">
      <alignment/>
    </xf>
    <xf numFmtId="3" fontId="103" fillId="35" borderId="23" xfId="36" applyNumberFormat="1" applyFont="1" applyFill="1" applyBorder="1" applyAlignment="1">
      <alignment/>
    </xf>
    <xf numFmtId="164" fontId="91" fillId="0" borderId="19" xfId="36" applyFont="1" applyFill="1" applyBorder="1" applyAlignment="1">
      <alignment horizontal="left"/>
    </xf>
    <xf numFmtId="3" fontId="91" fillId="0" borderId="46" xfId="36" applyNumberFormat="1" applyFont="1" applyFill="1" applyBorder="1" applyAlignment="1">
      <alignment horizontal="left"/>
    </xf>
    <xf numFmtId="3" fontId="91" fillId="0" borderId="46" xfId="36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105" fillId="0" borderId="41" xfId="36" applyNumberFormat="1" applyFont="1" applyFill="1" applyBorder="1" applyAlignment="1">
      <alignment horizontal="left"/>
    </xf>
    <xf numFmtId="3" fontId="103" fillId="0" borderId="20" xfId="36" applyNumberFormat="1" applyFont="1" applyFill="1" applyBorder="1" applyAlignment="1">
      <alignment/>
    </xf>
    <xf numFmtId="164" fontId="91" fillId="0" borderId="11" xfId="36" applyFont="1" applyFill="1" applyBorder="1" applyAlignment="1">
      <alignment horizontal="center" vertical="center"/>
    </xf>
    <xf numFmtId="164" fontId="91" fillId="0" borderId="11" xfId="36" applyFont="1" applyFill="1" applyBorder="1" applyAlignment="1">
      <alignment/>
    </xf>
    <xf numFmtId="3" fontId="91" fillId="0" borderId="14" xfId="36" applyNumberFormat="1" applyFont="1" applyFill="1" applyBorder="1" applyAlignment="1">
      <alignment/>
    </xf>
    <xf numFmtId="3" fontId="89" fillId="0" borderId="20" xfId="36" applyNumberFormat="1" applyFont="1" applyFill="1" applyBorder="1" applyAlignment="1">
      <alignment/>
    </xf>
    <xf numFmtId="3" fontId="105" fillId="36" borderId="40" xfId="36" applyNumberFormat="1" applyFont="1" applyFill="1" applyBorder="1" applyAlignment="1">
      <alignment horizontal="left"/>
    </xf>
    <xf numFmtId="164" fontId="105" fillId="36" borderId="19" xfId="36" applyFont="1" applyFill="1" applyBorder="1" applyAlignment="1">
      <alignment horizontal="left"/>
    </xf>
    <xf numFmtId="3" fontId="105" fillId="36" borderId="46" xfId="36" applyNumberFormat="1" applyFont="1" applyFill="1" applyBorder="1" applyAlignment="1">
      <alignment horizontal="left"/>
    </xf>
    <xf numFmtId="164" fontId="103" fillId="36" borderId="19" xfId="36" applyFont="1" applyFill="1" applyBorder="1" applyAlignment="1">
      <alignment/>
    </xf>
    <xf numFmtId="164" fontId="91" fillId="36" borderId="22" xfId="36" applyFont="1" applyFill="1" applyBorder="1" applyAlignment="1">
      <alignment horizontal="center" vertical="center"/>
    </xf>
    <xf numFmtId="164" fontId="91" fillId="36" borderId="22" xfId="36" applyFont="1" applyFill="1" applyBorder="1" applyAlignment="1">
      <alignment/>
    </xf>
    <xf numFmtId="3" fontId="91" fillId="36" borderId="23" xfId="36" applyNumberFormat="1" applyFont="1" applyFill="1" applyBorder="1" applyAlignment="1">
      <alignment/>
    </xf>
    <xf numFmtId="3" fontId="94" fillId="0" borderId="20" xfId="36" applyNumberFormat="1" applyFont="1" applyFill="1" applyBorder="1" applyAlignment="1">
      <alignment/>
    </xf>
    <xf numFmtId="3" fontId="94" fillId="0" borderId="20" xfId="36" applyNumberFormat="1" applyFont="1" applyFill="1" applyBorder="1" applyAlignment="1">
      <alignment horizontal="right" vertical="top"/>
    </xf>
    <xf numFmtId="164" fontId="94" fillId="0" borderId="47" xfId="36" applyFont="1" applyFill="1" applyBorder="1" applyAlignment="1">
      <alignment/>
    </xf>
    <xf numFmtId="3" fontId="94" fillId="0" borderId="20" xfId="36" applyNumberFormat="1" applyFont="1" applyFill="1" applyBorder="1" applyAlignment="1">
      <alignment vertical="center"/>
    </xf>
    <xf numFmtId="3" fontId="91" fillId="0" borderId="14" xfId="36" applyNumberFormat="1" applyFont="1" applyFill="1" applyBorder="1" applyAlignment="1">
      <alignment horizontal="right" vertical="center"/>
    </xf>
    <xf numFmtId="164" fontId="91" fillId="0" borderId="19" xfId="36" applyFont="1" applyFill="1" applyBorder="1" applyAlignment="1">
      <alignment vertical="top" wrapText="1"/>
    </xf>
    <xf numFmtId="3" fontId="102" fillId="35" borderId="17" xfId="36" applyNumberFormat="1" applyFont="1" applyFill="1" applyBorder="1" applyAlignment="1">
      <alignment horizontal="left"/>
    </xf>
    <xf numFmtId="164" fontId="91" fillId="35" borderId="18" xfId="36" applyFont="1" applyFill="1" applyBorder="1" applyAlignment="1">
      <alignment horizontal="center"/>
    </xf>
    <xf numFmtId="164" fontId="91" fillId="35" borderId="18" xfId="36" applyFont="1" applyFill="1" applyBorder="1" applyAlignment="1">
      <alignment/>
    </xf>
    <xf numFmtId="3" fontId="102" fillId="35" borderId="20" xfId="36" applyNumberFormat="1" applyFont="1" applyFill="1" applyBorder="1" applyAlignment="1">
      <alignment horizontal="left"/>
    </xf>
    <xf numFmtId="164" fontId="91" fillId="35" borderId="48" xfId="36" applyFont="1" applyFill="1" applyBorder="1" applyAlignment="1">
      <alignment/>
    </xf>
    <xf numFmtId="3" fontId="105" fillId="0" borderId="17" xfId="36" applyNumberFormat="1" applyFont="1" applyFill="1" applyBorder="1" applyAlignment="1">
      <alignment horizontal="left"/>
    </xf>
    <xf numFmtId="164" fontId="91" fillId="0" borderId="18" xfId="36" applyFont="1" applyFill="1" applyBorder="1" applyAlignment="1">
      <alignment/>
    </xf>
    <xf numFmtId="164" fontId="89" fillId="0" borderId="19" xfId="36" applyFont="1" applyFill="1" applyBorder="1" applyAlignment="1">
      <alignment/>
    </xf>
    <xf numFmtId="164" fontId="91" fillId="0" borderId="21" xfId="36" applyFont="1" applyFill="1" applyBorder="1" applyAlignment="1">
      <alignment/>
    </xf>
    <xf numFmtId="164" fontId="91" fillId="35" borderId="21" xfId="36" applyFont="1" applyFill="1" applyBorder="1" applyAlignment="1">
      <alignment/>
    </xf>
    <xf numFmtId="3" fontId="91" fillId="37" borderId="17" xfId="36" applyNumberFormat="1" applyFont="1" applyFill="1" applyBorder="1" applyAlignment="1">
      <alignment/>
    </xf>
    <xf numFmtId="164" fontId="91" fillId="37" borderId="19" xfId="36" applyFont="1" applyFill="1" applyBorder="1" applyAlignment="1">
      <alignment horizontal="right" vertical="center"/>
    </xf>
    <xf numFmtId="164" fontId="91" fillId="37" borderId="45" xfId="36" applyFont="1" applyFill="1" applyBorder="1" applyAlignment="1">
      <alignment horizontal="left"/>
    </xf>
    <xf numFmtId="3" fontId="91" fillId="37" borderId="20" xfId="36" applyNumberFormat="1" applyFont="1" applyFill="1" applyBorder="1" applyAlignment="1">
      <alignment/>
    </xf>
    <xf numFmtId="164" fontId="91" fillId="37" borderId="45" xfId="36" applyFont="1" applyFill="1" applyBorder="1" applyAlignment="1">
      <alignment/>
    </xf>
    <xf numFmtId="164" fontId="91" fillId="37" borderId="21" xfId="36" applyFont="1" applyFill="1" applyBorder="1" applyAlignment="1">
      <alignment/>
    </xf>
    <xf numFmtId="164" fontId="91" fillId="37" borderId="22" xfId="36" applyFont="1" applyFill="1" applyBorder="1" applyAlignment="1">
      <alignment/>
    </xf>
    <xf numFmtId="164" fontId="92" fillId="0" borderId="32" xfId="36" applyFont="1" applyFill="1" applyBorder="1" applyAlignment="1">
      <alignment/>
    </xf>
    <xf numFmtId="164" fontId="107" fillId="0" borderId="33" xfId="36" applyFont="1" applyFill="1" applyBorder="1" applyAlignment="1">
      <alignment horizontal="center" vertical="center"/>
    </xf>
    <xf numFmtId="164" fontId="92" fillId="0" borderId="33" xfId="36" applyFont="1" applyFill="1" applyBorder="1" applyAlignment="1">
      <alignment/>
    </xf>
    <xf numFmtId="3" fontId="92" fillId="0" borderId="34" xfId="36" applyNumberFormat="1" applyFont="1" applyFill="1" applyBorder="1" applyAlignment="1">
      <alignment/>
    </xf>
    <xf numFmtId="164" fontId="92" fillId="0" borderId="47" xfId="36" applyFont="1" applyFill="1" applyBorder="1" applyAlignment="1">
      <alignment/>
    </xf>
    <xf numFmtId="164" fontId="64" fillId="0" borderId="47" xfId="36" applyFont="1" applyFill="1" applyBorder="1" applyAlignment="1">
      <alignment horizontal="center" vertical="center"/>
    </xf>
    <xf numFmtId="164" fontId="88" fillId="0" borderId="47" xfId="36" applyFont="1" applyFill="1" applyBorder="1" applyAlignment="1">
      <alignment/>
    </xf>
    <xf numFmtId="3" fontId="64" fillId="0" borderId="49" xfId="36" applyNumberFormat="1" applyFont="1" applyFill="1" applyBorder="1" applyAlignment="1">
      <alignment/>
    </xf>
    <xf numFmtId="3" fontId="88" fillId="0" borderId="49" xfId="36" applyNumberFormat="1" applyFont="1" applyFill="1" applyBorder="1" applyAlignment="1">
      <alignment/>
    </xf>
    <xf numFmtId="164" fontId="92" fillId="0" borderId="15" xfId="36" applyFont="1" applyFill="1" applyBorder="1" applyAlignment="1">
      <alignment/>
    </xf>
    <xf numFmtId="164" fontId="107" fillId="0" borderId="16" xfId="36" applyFont="1" applyFill="1" applyBorder="1" applyAlignment="1">
      <alignment horizontal="center" vertical="center"/>
    </xf>
    <xf numFmtId="164" fontId="92" fillId="0" borderId="16" xfId="36" applyFont="1" applyFill="1" applyBorder="1" applyAlignment="1">
      <alignment/>
    </xf>
    <xf numFmtId="3" fontId="92" fillId="0" borderId="17" xfId="36" applyNumberFormat="1" applyFont="1" applyFill="1" applyBorder="1" applyAlignment="1">
      <alignment/>
    </xf>
    <xf numFmtId="3" fontId="89" fillId="0" borderId="50" xfId="36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/>
    </xf>
    <xf numFmtId="0" fontId="0" fillId="0" borderId="51" xfId="0" applyBorder="1" applyAlignment="1">
      <alignment horizontal="center"/>
    </xf>
    <xf numFmtId="0" fontId="90" fillId="0" borderId="18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3" fontId="84" fillId="0" borderId="0" xfId="0" applyNumberFormat="1" applyFont="1" applyFill="1" applyBorder="1" applyAlignment="1">
      <alignment/>
    </xf>
    <xf numFmtId="3" fontId="90" fillId="37" borderId="52" xfId="0" applyNumberFormat="1" applyFont="1" applyFill="1" applyBorder="1" applyAlignment="1">
      <alignment/>
    </xf>
    <xf numFmtId="3" fontId="90" fillId="0" borderId="53" xfId="0" applyNumberFormat="1" applyFont="1" applyFill="1" applyBorder="1" applyAlignment="1">
      <alignment/>
    </xf>
    <xf numFmtId="167" fontId="108" fillId="34" borderId="54" xfId="0" applyNumberFormat="1" applyFont="1" applyFill="1" applyBorder="1" applyAlignment="1">
      <alignment/>
    </xf>
    <xf numFmtId="3" fontId="96" fillId="0" borderId="35" xfId="0" applyNumberFormat="1" applyFont="1" applyFill="1" applyBorder="1" applyAlignment="1">
      <alignment/>
    </xf>
    <xf numFmtId="167" fontId="93" fillId="34" borderId="55" xfId="0" applyNumberFormat="1" applyFont="1" applyFill="1" applyBorder="1" applyAlignment="1">
      <alignment horizontal="right" vertical="center"/>
    </xf>
    <xf numFmtId="167" fontId="96" fillId="34" borderId="54" xfId="0" applyNumberFormat="1" applyFont="1" applyFill="1" applyBorder="1" applyAlignment="1">
      <alignment/>
    </xf>
    <xf numFmtId="3" fontId="96" fillId="0" borderId="35" xfId="0" applyNumberFormat="1" applyFont="1" applyBorder="1" applyAlignment="1">
      <alignment horizontal="right"/>
    </xf>
    <xf numFmtId="3" fontId="93" fillId="34" borderId="55" xfId="0" applyNumberFormat="1" applyFont="1" applyFill="1" applyBorder="1" applyAlignment="1">
      <alignment/>
    </xf>
    <xf numFmtId="3" fontId="93" fillId="34" borderId="56" xfId="0" applyNumberFormat="1" applyFont="1" applyFill="1" applyBorder="1" applyAlignment="1">
      <alignment horizontal="right"/>
    </xf>
    <xf numFmtId="167" fontId="96" fillId="0" borderId="54" xfId="0" applyNumberFormat="1" applyFont="1" applyBorder="1" applyAlignment="1">
      <alignment/>
    </xf>
    <xf numFmtId="3" fontId="93" fillId="0" borderId="57" xfId="0" applyNumberFormat="1" applyFont="1" applyBorder="1" applyAlignment="1">
      <alignment/>
    </xf>
    <xf numFmtId="3" fontId="93" fillId="0" borderId="56" xfId="0" applyNumberFormat="1" applyFont="1" applyBorder="1" applyAlignment="1">
      <alignment/>
    </xf>
    <xf numFmtId="3" fontId="93" fillId="0" borderId="58" xfId="0" applyNumberFormat="1" applyFont="1" applyBorder="1" applyAlignment="1">
      <alignment/>
    </xf>
    <xf numFmtId="0" fontId="109" fillId="0" borderId="59" xfId="0" applyFont="1" applyFill="1" applyBorder="1" applyAlignment="1">
      <alignment horizontal="center" vertical="center" wrapText="1"/>
    </xf>
    <xf numFmtId="164" fontId="87" fillId="0" borderId="60" xfId="36" applyFont="1" applyFill="1" applyBorder="1" applyAlignment="1">
      <alignment horizontal="center" vertical="center"/>
    </xf>
    <xf numFmtId="4" fontId="88" fillId="34" borderId="61" xfId="0" applyNumberFormat="1" applyFont="1" applyFill="1" applyBorder="1" applyAlignment="1">
      <alignment horizontal="center" vertical="center"/>
    </xf>
    <xf numFmtId="3" fontId="90" fillId="0" borderId="62" xfId="0" applyNumberFormat="1" applyFont="1" applyBorder="1" applyAlignment="1">
      <alignment/>
    </xf>
    <xf numFmtId="3" fontId="91" fillId="0" borderId="62" xfId="0" applyNumberFormat="1" applyFont="1" applyBorder="1" applyAlignment="1">
      <alignment/>
    </xf>
    <xf numFmtId="168" fontId="92" fillId="0" borderId="60" xfId="0" applyNumberFormat="1" applyFont="1" applyBorder="1" applyAlignment="1">
      <alignment horizontal="right" vertical="center"/>
    </xf>
    <xf numFmtId="3" fontId="94" fillId="0" borderId="62" xfId="0" applyNumberFormat="1" applyFont="1" applyBorder="1" applyAlignment="1">
      <alignment/>
    </xf>
    <xf numFmtId="3" fontId="92" fillId="34" borderId="63" xfId="0" applyNumberFormat="1" applyFont="1" applyFill="1" applyBorder="1" applyAlignment="1">
      <alignment/>
    </xf>
    <xf numFmtId="4" fontId="89" fillId="0" borderId="60" xfId="0" applyNumberFormat="1" applyFont="1" applyBorder="1" applyAlignment="1">
      <alignment/>
    </xf>
    <xf numFmtId="3" fontId="90" fillId="35" borderId="62" xfId="0" applyNumberFormat="1" applyFont="1" applyFill="1" applyBorder="1" applyAlignment="1">
      <alignment/>
    </xf>
    <xf numFmtId="3" fontId="90" fillId="0" borderId="62" xfId="0" applyNumberFormat="1" applyFont="1" applyFill="1" applyBorder="1" applyAlignment="1">
      <alignment/>
    </xf>
    <xf numFmtId="3" fontId="90" fillId="0" borderId="62" xfId="0" applyNumberFormat="1" applyFont="1" applyFill="1" applyBorder="1" applyAlignment="1">
      <alignment horizontal="right" vertical="center"/>
    </xf>
    <xf numFmtId="3" fontId="90" fillId="36" borderId="62" xfId="0" applyNumberFormat="1" applyFont="1" applyFill="1" applyBorder="1" applyAlignment="1">
      <alignment/>
    </xf>
    <xf numFmtId="3" fontId="90" fillId="36" borderId="64" xfId="0" applyNumberFormat="1" applyFont="1" applyFill="1" applyBorder="1" applyAlignment="1">
      <alignment/>
    </xf>
    <xf numFmtId="3" fontId="90" fillId="37" borderId="65" xfId="0" applyNumberFormat="1" applyFont="1" applyFill="1" applyBorder="1" applyAlignment="1">
      <alignment/>
    </xf>
    <xf numFmtId="3" fontId="90" fillId="0" borderId="64" xfId="0" applyNumberFormat="1" applyFont="1" applyFill="1" applyBorder="1" applyAlignment="1">
      <alignment/>
    </xf>
    <xf numFmtId="3" fontId="90" fillId="35" borderId="65" xfId="0" applyNumberFormat="1" applyFont="1" applyFill="1" applyBorder="1" applyAlignment="1">
      <alignment/>
    </xf>
    <xf numFmtId="3" fontId="90" fillId="0" borderId="64" xfId="0" applyNumberFormat="1" applyFont="1" applyBorder="1" applyAlignment="1">
      <alignment/>
    </xf>
    <xf numFmtId="3" fontId="97" fillId="0" borderId="66" xfId="0" applyNumberFormat="1" applyFont="1" applyBorder="1" applyAlignment="1">
      <alignment/>
    </xf>
    <xf numFmtId="4" fontId="90" fillId="0" borderId="67" xfId="0" applyNumberFormat="1" applyFont="1" applyBorder="1" applyAlignment="1">
      <alignment/>
    </xf>
    <xf numFmtId="0" fontId="90" fillId="38" borderId="18" xfId="0" applyFont="1" applyFill="1" applyBorder="1" applyAlignment="1">
      <alignment horizontal="center" vertical="center"/>
    </xf>
    <xf numFmtId="0" fontId="90" fillId="38" borderId="19" xfId="0" applyFont="1" applyFill="1" applyBorder="1" applyAlignment="1">
      <alignment horizontal="center" vertical="center"/>
    </xf>
    <xf numFmtId="0" fontId="90" fillId="38" borderId="19" xfId="0" applyFont="1" applyFill="1" applyBorder="1" applyAlignment="1">
      <alignment/>
    </xf>
    <xf numFmtId="3" fontId="90" fillId="38" borderId="20" xfId="0" applyNumberFormat="1" applyFont="1" applyFill="1" applyBorder="1" applyAlignment="1">
      <alignment/>
    </xf>
    <xf numFmtId="3" fontId="90" fillId="38" borderId="62" xfId="0" applyNumberFormat="1" applyFont="1" applyFill="1" applyBorder="1" applyAlignment="1">
      <alignment/>
    </xf>
    <xf numFmtId="3" fontId="96" fillId="38" borderId="35" xfId="0" applyNumberFormat="1" applyFont="1" applyFill="1" applyBorder="1" applyAlignment="1">
      <alignment/>
    </xf>
    <xf numFmtId="4" fontId="91" fillId="34" borderId="68" xfId="0" applyNumberFormat="1" applyFont="1" applyFill="1" applyBorder="1" applyAlignment="1">
      <alignment/>
    </xf>
    <xf numFmtId="3" fontId="92" fillId="34" borderId="69" xfId="0" applyNumberFormat="1" applyFont="1" applyFill="1" applyBorder="1" applyAlignment="1">
      <alignment/>
    </xf>
    <xf numFmtId="3" fontId="91" fillId="37" borderId="23" xfId="36" applyNumberFormat="1" applyFont="1" applyFill="1" applyBorder="1" applyAlignment="1">
      <alignment/>
    </xf>
    <xf numFmtId="3" fontId="106" fillId="0" borderId="70" xfId="36" applyNumberFormat="1" applyFont="1" applyFill="1" applyBorder="1" applyAlignment="1">
      <alignment/>
    </xf>
    <xf numFmtId="3" fontId="106" fillId="0" borderId="35" xfId="36" applyNumberFormat="1" applyFont="1" applyFill="1" applyBorder="1" applyAlignment="1">
      <alignment/>
    </xf>
    <xf numFmtId="3" fontId="110" fillId="0" borderId="35" xfId="36" applyNumberFormat="1" applyFont="1" applyFill="1" applyBorder="1" applyAlignment="1">
      <alignment/>
    </xf>
    <xf numFmtId="3" fontId="106" fillId="0" borderId="55" xfId="36" applyNumberFormat="1" applyFont="1" applyFill="1" applyBorder="1" applyAlignment="1">
      <alignment/>
    </xf>
    <xf numFmtId="3" fontId="106" fillId="0" borderId="54" xfId="36" applyNumberFormat="1" applyFont="1" applyFill="1" applyBorder="1" applyAlignment="1">
      <alignment/>
    </xf>
    <xf numFmtId="3" fontId="106" fillId="0" borderId="57" xfId="36" applyNumberFormat="1" applyFont="1" applyFill="1" applyBorder="1" applyAlignment="1">
      <alignment/>
    </xf>
    <xf numFmtId="3" fontId="106" fillId="37" borderId="45" xfId="36" applyNumberFormat="1" applyFont="1" applyFill="1" applyBorder="1" applyAlignment="1">
      <alignment/>
    </xf>
    <xf numFmtId="3" fontId="106" fillId="0" borderId="71" xfId="36" applyNumberFormat="1" applyFont="1" applyFill="1" applyBorder="1" applyAlignment="1">
      <alignment/>
    </xf>
    <xf numFmtId="3" fontId="110" fillId="0" borderId="55" xfId="36" applyNumberFormat="1" applyFont="1" applyFill="1" applyBorder="1" applyAlignment="1">
      <alignment/>
    </xf>
    <xf numFmtId="3" fontId="106" fillId="0" borderId="72" xfId="36" applyNumberFormat="1" applyFont="1" applyFill="1" applyBorder="1" applyAlignment="1">
      <alignment/>
    </xf>
    <xf numFmtId="3" fontId="106" fillId="0" borderId="45" xfId="36" applyNumberFormat="1" applyFont="1" applyFill="1" applyBorder="1" applyAlignment="1">
      <alignment/>
    </xf>
    <xf numFmtId="3" fontId="106" fillId="0" borderId="73" xfId="36" applyNumberFormat="1" applyFont="1" applyFill="1" applyBorder="1" applyAlignment="1">
      <alignment/>
    </xf>
    <xf numFmtId="3" fontId="111" fillId="0" borderId="56" xfId="36" applyNumberFormat="1" applyFont="1" applyFill="1" applyBorder="1" applyAlignment="1">
      <alignment/>
    </xf>
    <xf numFmtId="3" fontId="108" fillId="0" borderId="71" xfId="0" applyNumberFormat="1" applyFont="1" applyBorder="1" applyAlignment="1">
      <alignment/>
    </xf>
    <xf numFmtId="3" fontId="112" fillId="0" borderId="71" xfId="36" applyNumberFormat="1" applyFont="1" applyFill="1" applyBorder="1" applyAlignment="1">
      <alignment/>
    </xf>
    <xf numFmtId="3" fontId="111" fillId="0" borderId="54" xfId="36" applyNumberFormat="1" applyFont="1" applyFill="1" applyBorder="1" applyAlignment="1">
      <alignment/>
    </xf>
    <xf numFmtId="3" fontId="112" fillId="0" borderId="55" xfId="36" applyNumberFormat="1" applyFont="1" applyFill="1" applyBorder="1" applyAlignment="1">
      <alignment/>
    </xf>
    <xf numFmtId="3" fontId="91" fillId="35" borderId="62" xfId="36" applyNumberFormat="1" applyFont="1" applyFill="1" applyBorder="1" applyAlignment="1">
      <alignment/>
    </xf>
    <xf numFmtId="3" fontId="89" fillId="35" borderId="62" xfId="36" applyNumberFormat="1" applyFont="1" applyFill="1" applyBorder="1" applyAlignment="1">
      <alignment/>
    </xf>
    <xf numFmtId="3" fontId="91" fillId="35" borderId="63" xfId="36" applyNumberFormat="1" applyFont="1" applyFill="1" applyBorder="1" applyAlignment="1">
      <alignment/>
    </xf>
    <xf numFmtId="3" fontId="102" fillId="0" borderId="61" xfId="36" applyNumberFormat="1" applyFont="1" applyFill="1" applyBorder="1" applyAlignment="1">
      <alignment horizontal="left"/>
    </xf>
    <xf numFmtId="3" fontId="104" fillId="0" borderId="65" xfId="36" applyNumberFormat="1" applyFont="1" applyFill="1" applyBorder="1" applyAlignment="1">
      <alignment horizontal="right"/>
    </xf>
    <xf numFmtId="3" fontId="91" fillId="0" borderId="62" xfId="36" applyNumberFormat="1" applyFont="1" applyFill="1" applyBorder="1" applyAlignment="1">
      <alignment/>
    </xf>
    <xf numFmtId="3" fontId="89" fillId="37" borderId="62" xfId="36" applyNumberFormat="1" applyFont="1" applyFill="1" applyBorder="1" applyAlignment="1">
      <alignment/>
    </xf>
    <xf numFmtId="3" fontId="91" fillId="0" borderId="63" xfId="36" applyNumberFormat="1" applyFont="1" applyFill="1" applyBorder="1" applyAlignment="1">
      <alignment/>
    </xf>
    <xf numFmtId="3" fontId="91" fillId="35" borderId="61" xfId="36" applyNumberFormat="1" applyFont="1" applyFill="1" applyBorder="1" applyAlignment="1">
      <alignment horizontal="left" vertical="center"/>
    </xf>
    <xf numFmtId="3" fontId="91" fillId="0" borderId="62" xfId="36" applyNumberFormat="1" applyFont="1" applyFill="1" applyBorder="1" applyAlignment="1">
      <alignment vertical="center"/>
    </xf>
    <xf numFmtId="3" fontId="102" fillId="35" borderId="61" xfId="36" applyNumberFormat="1" applyFont="1" applyFill="1" applyBorder="1" applyAlignment="1">
      <alignment horizontal="left"/>
    </xf>
    <xf numFmtId="3" fontId="103" fillId="0" borderId="61" xfId="36" applyNumberFormat="1" applyFont="1" applyFill="1" applyBorder="1" applyAlignment="1">
      <alignment horizontal="left"/>
    </xf>
    <xf numFmtId="3" fontId="91" fillId="35" borderId="61" xfId="36" applyNumberFormat="1" applyFont="1" applyFill="1" applyBorder="1" applyAlignment="1">
      <alignment horizontal="right"/>
    </xf>
    <xf numFmtId="3" fontId="91" fillId="35" borderId="62" xfId="36" applyNumberFormat="1" applyFont="1" applyFill="1" applyBorder="1" applyAlignment="1">
      <alignment horizontal="right"/>
    </xf>
    <xf numFmtId="3" fontId="91" fillId="36" borderId="62" xfId="36" applyNumberFormat="1" applyFont="1" applyFill="1" applyBorder="1" applyAlignment="1">
      <alignment horizontal="right"/>
    </xf>
    <xf numFmtId="3" fontId="91" fillId="36" borderId="61" xfId="36" applyNumberFormat="1" applyFont="1" applyFill="1" applyBorder="1" applyAlignment="1">
      <alignment/>
    </xf>
    <xf numFmtId="3" fontId="103" fillId="35" borderId="62" xfId="36" applyNumberFormat="1" applyFont="1" applyFill="1" applyBorder="1" applyAlignment="1">
      <alignment/>
    </xf>
    <xf numFmtId="3" fontId="91" fillId="35" borderId="64" xfId="36" applyNumberFormat="1" applyFont="1" applyFill="1" applyBorder="1" applyAlignment="1">
      <alignment/>
    </xf>
    <xf numFmtId="3" fontId="91" fillId="37" borderId="61" xfId="36" applyNumberFormat="1" applyFont="1" applyFill="1" applyBorder="1" applyAlignment="1">
      <alignment/>
    </xf>
    <xf numFmtId="3" fontId="91" fillId="37" borderId="62" xfId="36" applyNumberFormat="1" applyFont="1" applyFill="1" applyBorder="1" applyAlignment="1">
      <alignment/>
    </xf>
    <xf numFmtId="3" fontId="91" fillId="37" borderId="63" xfId="36" applyNumberFormat="1" applyFont="1" applyFill="1" applyBorder="1" applyAlignment="1">
      <alignment/>
    </xf>
    <xf numFmtId="3" fontId="91" fillId="0" borderId="60" xfId="36" applyNumberFormat="1" applyFont="1" applyFill="1" applyBorder="1" applyAlignment="1">
      <alignment/>
    </xf>
    <xf numFmtId="3" fontId="105" fillId="0" borderId="61" xfId="36" applyNumberFormat="1" applyFont="1" applyFill="1" applyBorder="1" applyAlignment="1">
      <alignment horizontal="left"/>
    </xf>
    <xf numFmtId="3" fontId="91" fillId="0" borderId="62" xfId="36" applyNumberFormat="1" applyFont="1" applyFill="1" applyBorder="1" applyAlignment="1">
      <alignment horizontal="right" vertical="center"/>
    </xf>
    <xf numFmtId="3" fontId="91" fillId="0" borderId="65" xfId="36" applyNumberFormat="1" applyFont="1" applyFill="1" applyBorder="1" applyAlignment="1">
      <alignment vertical="center"/>
    </xf>
    <xf numFmtId="3" fontId="105" fillId="35" borderId="61" xfId="36" applyNumberFormat="1" applyFont="1" applyFill="1" applyBorder="1" applyAlignment="1">
      <alignment horizontal="left"/>
    </xf>
    <xf numFmtId="3" fontId="91" fillId="36" borderId="62" xfId="36" applyNumberFormat="1" applyFont="1" applyFill="1" applyBorder="1" applyAlignment="1">
      <alignment/>
    </xf>
    <xf numFmtId="3" fontId="103" fillId="0" borderId="63" xfId="36" applyNumberFormat="1" applyFont="1" applyFill="1" applyBorder="1" applyAlignment="1">
      <alignment/>
    </xf>
    <xf numFmtId="3" fontId="102" fillId="35" borderId="60" xfId="36" applyNumberFormat="1" applyFont="1" applyFill="1" applyBorder="1" applyAlignment="1">
      <alignment horizontal="left"/>
    </xf>
    <xf numFmtId="3" fontId="91" fillId="35" borderId="61" xfId="36" applyNumberFormat="1" applyFont="1" applyFill="1" applyBorder="1" applyAlignment="1">
      <alignment/>
    </xf>
    <xf numFmtId="3" fontId="104" fillId="35" borderId="62" xfId="36" applyNumberFormat="1" applyFont="1" applyFill="1" applyBorder="1" applyAlignment="1">
      <alignment horizontal="right"/>
    </xf>
    <xf numFmtId="3" fontId="91" fillId="35" borderId="62" xfId="36" applyNumberFormat="1" applyFont="1" applyFill="1" applyBorder="1" applyAlignment="1">
      <alignment horizontal="right" vertical="center"/>
    </xf>
    <xf numFmtId="3" fontId="89" fillId="37" borderId="63" xfId="36" applyNumberFormat="1" applyFont="1" applyFill="1" applyBorder="1" applyAlignment="1">
      <alignment/>
    </xf>
    <xf numFmtId="3" fontId="103" fillId="35" borderId="63" xfId="36" applyNumberFormat="1" applyFont="1" applyFill="1" applyBorder="1" applyAlignment="1">
      <alignment/>
    </xf>
    <xf numFmtId="3" fontId="91" fillId="0" borderId="62" xfId="36" applyNumberFormat="1" applyFont="1" applyFill="1" applyBorder="1" applyAlignment="1">
      <alignment horizontal="left"/>
    </xf>
    <xf numFmtId="3" fontId="91" fillId="0" borderId="62" xfId="36" applyNumberFormat="1" applyFont="1" applyFill="1" applyBorder="1" applyAlignment="1">
      <alignment horizontal="right"/>
    </xf>
    <xf numFmtId="3" fontId="105" fillId="0" borderId="65" xfId="36" applyNumberFormat="1" applyFont="1" applyFill="1" applyBorder="1" applyAlignment="1">
      <alignment horizontal="left"/>
    </xf>
    <xf numFmtId="3" fontId="103" fillId="0" borderId="62" xfId="36" applyNumberFormat="1" applyFont="1" applyFill="1" applyBorder="1" applyAlignment="1">
      <alignment/>
    </xf>
    <xf numFmtId="3" fontId="91" fillId="0" borderId="64" xfId="36" applyNumberFormat="1" applyFont="1" applyFill="1" applyBorder="1" applyAlignment="1">
      <alignment/>
    </xf>
    <xf numFmtId="3" fontId="89" fillId="0" borderId="62" xfId="36" applyNumberFormat="1" applyFont="1" applyFill="1" applyBorder="1" applyAlignment="1">
      <alignment/>
    </xf>
    <xf numFmtId="3" fontId="105" fillId="36" borderId="61" xfId="36" applyNumberFormat="1" applyFont="1" applyFill="1" applyBorder="1" applyAlignment="1">
      <alignment horizontal="left"/>
    </xf>
    <xf numFmtId="3" fontId="105" fillId="36" borderId="62" xfId="36" applyNumberFormat="1" applyFont="1" applyFill="1" applyBorder="1" applyAlignment="1">
      <alignment horizontal="left"/>
    </xf>
    <xf numFmtId="3" fontId="94" fillId="0" borderId="62" xfId="36" applyNumberFormat="1" applyFont="1" applyFill="1" applyBorder="1" applyAlignment="1">
      <alignment/>
    </xf>
    <xf numFmtId="3" fontId="94" fillId="0" borderId="62" xfId="36" applyNumberFormat="1" applyFont="1" applyFill="1" applyBorder="1" applyAlignment="1">
      <alignment horizontal="right" vertical="top"/>
    </xf>
    <xf numFmtId="3" fontId="94" fillId="0" borderId="62" xfId="36" applyNumberFormat="1" applyFont="1" applyFill="1" applyBorder="1" applyAlignment="1">
      <alignment vertical="center"/>
    </xf>
    <xf numFmtId="3" fontId="91" fillId="0" borderId="64" xfId="36" applyNumberFormat="1" applyFont="1" applyFill="1" applyBorder="1" applyAlignment="1">
      <alignment horizontal="right" vertical="center"/>
    </xf>
    <xf numFmtId="3" fontId="102" fillId="35" borderId="62" xfId="36" applyNumberFormat="1" applyFont="1" applyFill="1" applyBorder="1" applyAlignment="1">
      <alignment horizontal="left"/>
    </xf>
    <xf numFmtId="3" fontId="64" fillId="0" borderId="60" xfId="36" applyNumberFormat="1" applyFont="1" applyFill="1" applyBorder="1" applyAlignment="1">
      <alignment/>
    </xf>
    <xf numFmtId="3" fontId="88" fillId="0" borderId="60" xfId="36" applyNumberFormat="1" applyFont="1" applyFill="1" applyBorder="1" applyAlignment="1">
      <alignment/>
    </xf>
    <xf numFmtId="3" fontId="92" fillId="0" borderId="61" xfId="36" applyNumberFormat="1" applyFont="1" applyFill="1" applyBorder="1" applyAlignment="1">
      <alignment/>
    </xf>
    <xf numFmtId="164" fontId="104" fillId="0" borderId="29" xfId="36" applyFont="1" applyFill="1" applyBorder="1" applyAlignment="1">
      <alignment horizontal="center"/>
    </xf>
    <xf numFmtId="164" fontId="102" fillId="0" borderId="74" xfId="36" applyFont="1" applyFill="1" applyBorder="1" applyAlignment="1">
      <alignment horizontal="left"/>
    </xf>
    <xf numFmtId="3" fontId="106" fillId="0" borderId="68" xfId="36" applyNumberFormat="1" applyFont="1" applyFill="1" applyBorder="1" applyAlignment="1">
      <alignment/>
    </xf>
    <xf numFmtId="3" fontId="106" fillId="0" borderId="62" xfId="36" applyNumberFormat="1" applyFont="1" applyFill="1" applyBorder="1" applyAlignment="1">
      <alignment/>
    </xf>
    <xf numFmtId="3" fontId="106" fillId="0" borderId="62" xfId="36" applyNumberFormat="1" applyFont="1" applyFill="1" applyBorder="1" applyAlignment="1">
      <alignment vertical="center"/>
    </xf>
    <xf numFmtId="3" fontId="106" fillId="0" borderId="65" xfId="36" applyNumberFormat="1" applyFont="1" applyFill="1" applyBorder="1" applyAlignment="1">
      <alignment vertical="center"/>
    </xf>
    <xf numFmtId="3" fontId="110" fillId="0" borderId="62" xfId="36" applyNumberFormat="1" applyFont="1" applyFill="1" applyBorder="1" applyAlignment="1">
      <alignment/>
    </xf>
    <xf numFmtId="3" fontId="106" fillId="0" borderId="75" xfId="36" applyNumberFormat="1" applyFont="1" applyFill="1" applyBorder="1" applyAlignment="1">
      <alignment/>
    </xf>
    <xf numFmtId="164" fontId="105" fillId="35" borderId="74" xfId="36" applyFont="1" applyFill="1" applyBorder="1" applyAlignment="1">
      <alignment horizontal="left"/>
    </xf>
    <xf numFmtId="164" fontId="91" fillId="35" borderId="72" xfId="36" applyFont="1" applyFill="1" applyBorder="1" applyAlignment="1">
      <alignment horizontal="left"/>
    </xf>
    <xf numFmtId="164" fontId="91" fillId="35" borderId="72" xfId="36" applyFont="1" applyFill="1" applyBorder="1" applyAlignment="1">
      <alignment horizontal="center"/>
    </xf>
    <xf numFmtId="3" fontId="91" fillId="35" borderId="41" xfId="36" applyNumberFormat="1" applyFont="1" applyFill="1" applyBorder="1" applyAlignment="1">
      <alignment horizontal="right"/>
    </xf>
    <xf numFmtId="3" fontId="91" fillId="35" borderId="65" xfId="36" applyNumberFormat="1" applyFont="1" applyFill="1" applyBorder="1" applyAlignment="1">
      <alignment horizontal="right"/>
    </xf>
    <xf numFmtId="0" fontId="0" fillId="0" borderId="60" xfId="0" applyFont="1" applyBorder="1" applyAlignment="1">
      <alignment/>
    </xf>
    <xf numFmtId="3" fontId="108" fillId="0" borderId="60" xfId="0" applyNumberFormat="1" applyFont="1" applyBorder="1" applyAlignment="1">
      <alignment/>
    </xf>
    <xf numFmtId="3" fontId="110" fillId="0" borderId="75" xfId="36" applyNumberFormat="1" applyFont="1" applyFill="1" applyBorder="1" applyAlignment="1">
      <alignment/>
    </xf>
    <xf numFmtId="3" fontId="91" fillId="36" borderId="64" xfId="36" applyNumberFormat="1" applyFont="1" applyFill="1" applyBorder="1" applyAlignment="1">
      <alignment/>
    </xf>
    <xf numFmtId="3" fontId="102" fillId="35" borderId="65" xfId="36" applyNumberFormat="1" applyFont="1" applyFill="1" applyBorder="1" applyAlignment="1">
      <alignment horizontal="left"/>
    </xf>
    <xf numFmtId="3" fontId="103" fillId="0" borderId="68" xfId="36" applyNumberFormat="1" applyFont="1" applyFill="1" applyBorder="1" applyAlignment="1">
      <alignment horizontal="left"/>
    </xf>
    <xf numFmtId="3" fontId="91" fillId="0" borderId="75" xfId="36" applyNumberFormat="1" applyFont="1" applyFill="1" applyBorder="1" applyAlignment="1">
      <alignment/>
    </xf>
    <xf numFmtId="3" fontId="89" fillId="0" borderId="75" xfId="36" applyNumberFormat="1" applyFont="1" applyFill="1" applyBorder="1" applyAlignment="1">
      <alignment horizontal="right"/>
    </xf>
    <xf numFmtId="3" fontId="102" fillId="0" borderId="65" xfId="36" applyNumberFormat="1" applyFont="1" applyFill="1" applyBorder="1" applyAlignment="1">
      <alignment horizontal="left"/>
    </xf>
    <xf numFmtId="3" fontId="102" fillId="35" borderId="68" xfId="36" applyNumberFormat="1" applyFont="1" applyFill="1" applyBorder="1" applyAlignment="1">
      <alignment horizontal="left" shrinkToFit="1"/>
    </xf>
    <xf numFmtId="3" fontId="91" fillId="35" borderId="75" xfId="36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0" fontId="109" fillId="0" borderId="76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13" fillId="0" borderId="77" xfId="0" applyFont="1" applyFill="1" applyBorder="1" applyAlignment="1" applyProtection="1">
      <alignment horizontal="center" vertical="center" wrapText="1"/>
      <protection locked="0"/>
    </xf>
    <xf numFmtId="0" fontId="113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/>
    </xf>
    <xf numFmtId="0" fontId="90" fillId="0" borderId="19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left" vertical="center" shrinkToFit="1"/>
    </xf>
    <xf numFmtId="0" fontId="90" fillId="36" borderId="28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90" fillId="35" borderId="18" xfId="0" applyFont="1" applyFill="1" applyBorder="1" applyAlignment="1">
      <alignment horizontal="center" vertical="center"/>
    </xf>
    <xf numFmtId="164" fontId="114" fillId="0" borderId="59" xfId="36" applyFont="1" applyFill="1" applyBorder="1" applyAlignment="1">
      <alignment horizontal="center" vertical="center" wrapText="1"/>
    </xf>
    <xf numFmtId="164" fontId="114" fillId="0" borderId="78" xfId="36" applyFont="1" applyFill="1" applyBorder="1" applyAlignment="1">
      <alignment horizontal="center" vertical="center" wrapText="1"/>
    </xf>
    <xf numFmtId="164" fontId="102" fillId="35" borderId="15" xfId="36" applyFont="1" applyFill="1" applyBorder="1" applyAlignment="1">
      <alignment horizontal="left" shrinkToFit="1"/>
    </xf>
    <xf numFmtId="164" fontId="91" fillId="35" borderId="21" xfId="36" applyFont="1" applyFill="1" applyBorder="1" applyAlignment="1">
      <alignment horizontal="center" vertical="center"/>
    </xf>
    <xf numFmtId="164" fontId="91" fillId="35" borderId="19" xfId="36" applyFont="1" applyFill="1" applyBorder="1" applyAlignment="1">
      <alignment horizontal="center" vertical="center"/>
    </xf>
    <xf numFmtId="164" fontId="102" fillId="0" borderId="15" xfId="36" applyFont="1" applyFill="1" applyBorder="1" applyAlignment="1">
      <alignment horizontal="left"/>
    </xf>
    <xf numFmtId="0" fontId="109" fillId="0" borderId="59" xfId="0" applyFont="1" applyFill="1" applyBorder="1" applyAlignment="1">
      <alignment horizontal="center" vertical="center" wrapText="1"/>
    </xf>
    <xf numFmtId="0" fontId="109" fillId="0" borderId="69" xfId="0" applyFont="1" applyFill="1" applyBorder="1" applyAlignment="1">
      <alignment horizontal="center" vertical="center" wrapText="1"/>
    </xf>
    <xf numFmtId="164" fontId="104" fillId="0" borderId="21" xfId="36" applyFont="1" applyFill="1" applyBorder="1" applyAlignment="1">
      <alignment horizontal="center" vertical="center"/>
    </xf>
    <xf numFmtId="164" fontId="91" fillId="0" borderId="21" xfId="36" applyFont="1" applyFill="1" applyBorder="1" applyAlignment="1">
      <alignment horizontal="center" vertical="center"/>
    </xf>
    <xf numFmtId="164" fontId="91" fillId="0" borderId="19" xfId="36" applyFont="1" applyFill="1" applyBorder="1" applyAlignment="1">
      <alignment horizontal="center" vertical="center"/>
    </xf>
    <xf numFmtId="164" fontId="102" fillId="35" borderId="15" xfId="36" applyFont="1" applyFill="1" applyBorder="1" applyAlignment="1">
      <alignment horizontal="left"/>
    </xf>
    <xf numFmtId="164" fontId="91" fillId="0" borderId="31" xfId="36" applyFont="1" applyFill="1" applyBorder="1" applyAlignment="1">
      <alignment horizontal="center" vertical="center"/>
    </xf>
    <xf numFmtId="164" fontId="105" fillId="36" borderId="15" xfId="36" applyFont="1" applyFill="1" applyBorder="1" applyAlignment="1">
      <alignment horizontal="left" vertical="center"/>
    </xf>
    <xf numFmtId="164" fontId="105" fillId="37" borderId="15" xfId="36" applyFont="1" applyFill="1" applyBorder="1" applyAlignment="1">
      <alignment horizontal="left" vertical="center"/>
    </xf>
    <xf numFmtId="164" fontId="91" fillId="37" borderId="21" xfId="36" applyFont="1" applyFill="1" applyBorder="1" applyAlignment="1">
      <alignment horizontal="center" vertical="center"/>
    </xf>
    <xf numFmtId="164" fontId="105" fillId="0" borderId="15" xfId="36" applyFont="1" applyFill="1" applyBorder="1" applyAlignment="1">
      <alignment horizontal="left"/>
    </xf>
    <xf numFmtId="164" fontId="91" fillId="0" borderId="19" xfId="36" applyFont="1" applyFill="1" applyBorder="1" applyAlignment="1">
      <alignment horizontal="left" vertical="center" wrapText="1"/>
    </xf>
    <xf numFmtId="3" fontId="91" fillId="0" borderId="20" xfId="36" applyNumberFormat="1" applyFont="1" applyFill="1" applyBorder="1" applyAlignment="1">
      <alignment horizontal="right" vertical="center"/>
    </xf>
    <xf numFmtId="164" fontId="105" fillId="35" borderId="15" xfId="36" applyFont="1" applyFill="1" applyBorder="1" applyAlignment="1">
      <alignment horizontal="left"/>
    </xf>
    <xf numFmtId="164" fontId="102" fillId="35" borderId="33" xfId="36" applyFont="1" applyFill="1" applyBorder="1" applyAlignment="1">
      <alignment horizontal="left"/>
    </xf>
    <xf numFmtId="164" fontId="91" fillId="35" borderId="32" xfId="3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164" fontId="91" fillId="0" borderId="22" xfId="36" applyFont="1" applyFill="1" applyBorder="1" applyAlignment="1">
      <alignment horizontal="center" vertical="center"/>
    </xf>
    <xf numFmtId="164" fontId="105" fillId="36" borderId="15" xfId="36" applyFont="1" applyFill="1" applyBorder="1" applyAlignment="1">
      <alignment horizontal="left"/>
    </xf>
    <xf numFmtId="164" fontId="91" fillId="36" borderId="21" xfId="36" applyFont="1" applyFill="1" applyBorder="1" applyAlignment="1">
      <alignment horizontal="center" vertical="center"/>
    </xf>
    <xf numFmtId="164" fontId="103" fillId="0" borderId="15" xfId="36" applyFont="1" applyFill="1" applyBorder="1" applyAlignment="1">
      <alignment horizontal="left"/>
    </xf>
    <xf numFmtId="164" fontId="105" fillId="37" borderId="15" xfId="36" applyFont="1" applyFill="1" applyBorder="1" applyAlignment="1">
      <alignment horizontal="left"/>
    </xf>
    <xf numFmtId="164" fontId="91" fillId="37" borderId="18" xfId="36" applyFont="1" applyFill="1" applyBorder="1" applyAlignment="1">
      <alignment horizontal="center" vertical="center"/>
    </xf>
    <xf numFmtId="164" fontId="89" fillId="0" borderId="21" xfId="36" applyFont="1" applyFill="1" applyBorder="1" applyAlignment="1">
      <alignment horizontal="left"/>
    </xf>
    <xf numFmtId="164" fontId="102" fillId="35" borderId="18" xfId="36" applyFont="1" applyFill="1" applyBorder="1" applyAlignment="1">
      <alignment horizontal="left"/>
    </xf>
    <xf numFmtId="164" fontId="91" fillId="0" borderId="18" xfId="36" applyFont="1" applyFill="1" applyBorder="1" applyAlignment="1">
      <alignment horizontal="center" vertical="center"/>
    </xf>
    <xf numFmtId="164" fontId="91" fillId="35" borderId="18" xfId="36" applyFont="1" applyFill="1" applyBorder="1" applyAlignment="1">
      <alignment horizontal="center" vertical="center"/>
    </xf>
    <xf numFmtId="3" fontId="96" fillId="33" borderId="35" xfId="0" applyNumberFormat="1" applyFont="1" applyFill="1" applyBorder="1" applyAlignment="1">
      <alignment horizontal="righ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Result" xfId="53"/>
    <cellStyle name="Result2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showGridLines="0" zoomScale="80" zoomScaleNormal="80" zoomScalePageLayoutView="0" workbookViewId="0" topLeftCell="A113">
      <selection activeCell="B137" sqref="B137"/>
    </sheetView>
  </sheetViews>
  <sheetFormatPr defaultColWidth="7.25390625" defaultRowHeight="14.25"/>
  <cols>
    <col min="1" max="1" width="51.875" style="0" customWidth="1"/>
    <col min="2" max="2" width="19.625" style="0" customWidth="1"/>
    <col min="3" max="3" width="35.375" style="0" customWidth="1"/>
    <col min="4" max="5" width="7.25390625" style="0" customWidth="1"/>
    <col min="6" max="6" width="35.00390625" style="0" customWidth="1"/>
    <col min="7" max="7" width="19.50390625" style="0" customWidth="1"/>
    <col min="8" max="8" width="20.00390625" style="0" customWidth="1"/>
    <col min="9" max="9" width="20.375" style="0" customWidth="1"/>
    <col min="10" max="10" width="11.125" style="0" customWidth="1"/>
  </cols>
  <sheetData>
    <row r="1" ht="21">
      <c r="A1" s="1" t="s">
        <v>369</v>
      </c>
    </row>
    <row r="2" spans="6:7" ht="13.5">
      <c r="F2" s="121" t="s">
        <v>381</v>
      </c>
      <c r="G2" s="121"/>
    </row>
    <row r="4" spans="1:9" ht="30">
      <c r="A4" s="11" t="s">
        <v>7</v>
      </c>
      <c r="B4" s="4" t="s">
        <v>0</v>
      </c>
      <c r="C4" s="5" t="s">
        <v>1</v>
      </c>
      <c r="G4" s="274" t="s">
        <v>409</v>
      </c>
      <c r="H4" s="274" t="s">
        <v>408</v>
      </c>
      <c r="I4" s="274" t="s">
        <v>407</v>
      </c>
    </row>
    <row r="5" spans="1:9" ht="13.5">
      <c r="A5" s="7" t="s">
        <v>258</v>
      </c>
      <c r="B5" s="9">
        <v>150000</v>
      </c>
      <c r="C5" s="10" t="s">
        <v>360</v>
      </c>
      <c r="F5" s="3" t="s">
        <v>383</v>
      </c>
      <c r="G5" s="2">
        <v>100000</v>
      </c>
      <c r="H5" s="2">
        <v>114969</v>
      </c>
      <c r="I5" s="3"/>
    </row>
    <row r="6" spans="1:9" ht="13.5">
      <c r="A6" s="7" t="s">
        <v>16</v>
      </c>
      <c r="B6" s="9">
        <v>100000</v>
      </c>
      <c r="C6" s="10" t="s">
        <v>2</v>
      </c>
      <c r="F6" s="3" t="s">
        <v>390</v>
      </c>
      <c r="G6" s="2">
        <v>150000</v>
      </c>
      <c r="H6" s="2">
        <f>158920+6791</f>
        <v>165711</v>
      </c>
      <c r="I6" s="3"/>
    </row>
    <row r="7" spans="1:9" ht="13.5">
      <c r="A7" s="7" t="s">
        <v>18</v>
      </c>
      <c r="B7" s="9">
        <v>250000</v>
      </c>
      <c r="C7" s="10" t="s">
        <v>2</v>
      </c>
      <c r="F7" s="3" t="s">
        <v>391</v>
      </c>
      <c r="G7" s="2">
        <v>1000000</v>
      </c>
      <c r="H7" s="3"/>
      <c r="I7" s="119">
        <f>351339*1.21</f>
        <v>425120.19</v>
      </c>
    </row>
    <row r="8" spans="1:9" ht="13.5">
      <c r="A8" s="7" t="s">
        <v>257</v>
      </c>
      <c r="B8" s="9">
        <v>30000</v>
      </c>
      <c r="C8" s="15" t="s">
        <v>357</v>
      </c>
      <c r="F8" s="3" t="s">
        <v>392</v>
      </c>
      <c r="G8" s="2">
        <v>300000</v>
      </c>
      <c r="H8" s="3"/>
      <c r="I8" s="119">
        <f>191837*1.21</f>
        <v>232122.77</v>
      </c>
    </row>
    <row r="9" spans="1:9" ht="13.5">
      <c r="A9" s="277" t="s">
        <v>468</v>
      </c>
      <c r="B9" s="414">
        <v>100000</v>
      </c>
      <c r="F9" s="3" t="s">
        <v>393</v>
      </c>
      <c r="G9" s="2">
        <v>100000</v>
      </c>
      <c r="H9" s="3"/>
      <c r="I9" s="119">
        <f>274592*1.21</f>
        <v>332256.32</v>
      </c>
    </row>
    <row r="10" spans="1:9" ht="13.5">
      <c r="A10" s="3" t="s">
        <v>262</v>
      </c>
      <c r="B10" s="2">
        <v>100000</v>
      </c>
      <c r="C10" s="10" t="s">
        <v>461</v>
      </c>
      <c r="F10" s="3" t="s">
        <v>257</v>
      </c>
      <c r="G10" s="2">
        <v>30000</v>
      </c>
      <c r="H10" s="3"/>
      <c r="I10" s="119"/>
    </row>
    <row r="11" spans="1:9" ht="13.5">
      <c r="A11" s="3" t="s">
        <v>263</v>
      </c>
      <c r="B11" s="2">
        <v>250000</v>
      </c>
      <c r="C11" s="10" t="s">
        <v>461</v>
      </c>
      <c r="F11" s="3" t="s">
        <v>394</v>
      </c>
      <c r="G11" s="2">
        <v>150000</v>
      </c>
      <c r="H11" s="3"/>
      <c r="I11" s="3"/>
    </row>
    <row r="12" spans="1:9" ht="13.5">
      <c r="A12" s="3" t="s">
        <v>261</v>
      </c>
      <c r="B12" s="2">
        <v>150000</v>
      </c>
      <c r="C12" s="10"/>
      <c r="F12" s="13" t="s">
        <v>258</v>
      </c>
      <c r="G12" s="14">
        <v>150000</v>
      </c>
      <c r="H12" s="3">
        <v>0</v>
      </c>
      <c r="I12" s="3">
        <v>0</v>
      </c>
    </row>
    <row r="13" spans="1:9" ht="13.5">
      <c r="A13" s="3" t="s">
        <v>489</v>
      </c>
      <c r="B13" s="2">
        <v>50000</v>
      </c>
      <c r="C13" s="10"/>
      <c r="F13" s="13" t="s">
        <v>16</v>
      </c>
      <c r="G13" s="14">
        <v>100000</v>
      </c>
      <c r="H13" s="3">
        <v>0</v>
      </c>
      <c r="I13" s="3">
        <v>0</v>
      </c>
    </row>
    <row r="14" spans="1:9" ht="13.5">
      <c r="A14" s="3" t="s">
        <v>449</v>
      </c>
      <c r="B14" s="2">
        <v>100000</v>
      </c>
      <c r="C14" s="3"/>
      <c r="F14" s="13" t="s">
        <v>18</v>
      </c>
      <c r="G14" s="14">
        <v>250000</v>
      </c>
      <c r="H14" s="3">
        <v>0</v>
      </c>
      <c r="I14" s="3">
        <v>0</v>
      </c>
    </row>
    <row r="15" spans="1:9" ht="13.5">
      <c r="A15" s="3" t="s">
        <v>370</v>
      </c>
      <c r="B15" s="2">
        <v>200000</v>
      </c>
      <c r="C15" s="3"/>
      <c r="F15" s="3"/>
      <c r="G15" s="3"/>
      <c r="H15" s="3"/>
      <c r="I15" s="3"/>
    </row>
    <row r="16" spans="1:7" ht="13.5">
      <c r="A16" s="3" t="s">
        <v>373</v>
      </c>
      <c r="B16" s="2">
        <v>150000</v>
      </c>
      <c r="C16" s="415">
        <v>2019</v>
      </c>
      <c r="G16" s="16">
        <f>SUM(G5:G14)</f>
        <v>2330000</v>
      </c>
    </row>
    <row r="17" spans="1:3" ht="13.5">
      <c r="A17" s="3" t="s">
        <v>374</v>
      </c>
      <c r="B17" s="2">
        <v>150000</v>
      </c>
      <c r="C17" s="3"/>
    </row>
    <row r="18" spans="1:3" ht="13.5">
      <c r="A18" s="3" t="s">
        <v>375</v>
      </c>
      <c r="B18" s="2">
        <v>200000</v>
      </c>
      <c r="C18" s="3" t="s">
        <v>484</v>
      </c>
    </row>
    <row r="19" spans="1:3" ht="13.5">
      <c r="A19" s="3" t="s">
        <v>378</v>
      </c>
      <c r="B19" s="2">
        <v>550000</v>
      </c>
      <c r="C19" s="3" t="s">
        <v>485</v>
      </c>
    </row>
    <row r="20" spans="1:3" ht="13.5">
      <c r="A20" s="3" t="s">
        <v>377</v>
      </c>
      <c r="B20" s="2">
        <v>100000</v>
      </c>
      <c r="C20" s="10"/>
    </row>
    <row r="21" spans="1:3" ht="13.5">
      <c r="A21" s="13" t="s">
        <v>379</v>
      </c>
      <c r="B21" s="2">
        <v>750000</v>
      </c>
      <c r="C21" s="3">
        <v>2019</v>
      </c>
    </row>
    <row r="22" spans="1:3" ht="13.5">
      <c r="A22" s="13" t="s">
        <v>380</v>
      </c>
      <c r="B22" s="2">
        <v>750000</v>
      </c>
      <c r="C22" s="3">
        <v>2019</v>
      </c>
    </row>
    <row r="23" spans="2:3" ht="13.5">
      <c r="B23" s="8">
        <f>SUM(B5:B9)+B12+B14+B15+B17+B18+B19+B20</f>
        <v>2080000</v>
      </c>
      <c r="C23" s="123" t="s">
        <v>486</v>
      </c>
    </row>
    <row r="24" spans="2:3" ht="13.5">
      <c r="B24" s="16">
        <f>B5+B6+B7+B8+B9+B12+B14+B15+B17+B20+430000+200000*0.4</f>
        <v>1840000</v>
      </c>
      <c r="C24" s="124" t="s">
        <v>487</v>
      </c>
    </row>
    <row r="29" spans="1:9" ht="35.25">
      <c r="A29" s="12" t="s">
        <v>4</v>
      </c>
      <c r="B29" s="4" t="s">
        <v>0</v>
      </c>
      <c r="C29" s="5" t="s">
        <v>1</v>
      </c>
      <c r="G29" s="274" t="s">
        <v>409</v>
      </c>
      <c r="H29" s="274" t="s">
        <v>408</v>
      </c>
      <c r="I29" s="274" t="s">
        <v>407</v>
      </c>
    </row>
    <row r="30" spans="1:9" ht="13.5">
      <c r="A30" s="7" t="s">
        <v>361</v>
      </c>
      <c r="B30" s="9">
        <v>400000</v>
      </c>
      <c r="C30" s="15" t="s">
        <v>482</v>
      </c>
      <c r="F30" s="3" t="s">
        <v>382</v>
      </c>
      <c r="G30" s="2">
        <v>250000</v>
      </c>
      <c r="H30" s="119">
        <f>52030+100+8120*1.21+591195</f>
        <v>653150.2</v>
      </c>
      <c r="I30" s="119">
        <v>0</v>
      </c>
    </row>
    <row r="31" spans="1:9" ht="13.5">
      <c r="A31" s="7" t="s">
        <v>475</v>
      </c>
      <c r="B31" s="9">
        <v>400000</v>
      </c>
      <c r="C31" s="15" t="s">
        <v>483</v>
      </c>
      <c r="F31" s="3" t="s">
        <v>395</v>
      </c>
      <c r="G31" s="2">
        <v>60000</v>
      </c>
      <c r="H31" s="119">
        <v>0</v>
      </c>
      <c r="I31" s="119">
        <v>0</v>
      </c>
    </row>
    <row r="32" spans="1:9" ht="13.5">
      <c r="A32" s="7" t="s">
        <v>478</v>
      </c>
      <c r="B32" s="9">
        <v>35000</v>
      </c>
      <c r="C32" s="15"/>
      <c r="F32" s="3" t="s">
        <v>325</v>
      </c>
      <c r="G32" s="2">
        <v>250000</v>
      </c>
      <c r="H32" s="119">
        <v>281253.5</v>
      </c>
      <c r="I32" s="119">
        <v>0</v>
      </c>
    </row>
    <row r="33" spans="1:9" ht="13.5">
      <c r="A33" s="13" t="s">
        <v>264</v>
      </c>
      <c r="B33" s="2">
        <v>25000</v>
      </c>
      <c r="C33" s="122"/>
      <c r="F33" s="3" t="s">
        <v>324</v>
      </c>
      <c r="G33" s="2">
        <v>50000</v>
      </c>
      <c r="H33" s="119">
        <v>91581.8</v>
      </c>
      <c r="I33" s="119">
        <v>0</v>
      </c>
    </row>
    <row r="34" spans="1:9" ht="13.5">
      <c r="A34" s="3" t="s">
        <v>362</v>
      </c>
      <c r="B34" s="2">
        <v>75000</v>
      </c>
      <c r="C34" s="10"/>
      <c r="F34" s="3" t="s">
        <v>396</v>
      </c>
      <c r="G34" s="2">
        <v>20000</v>
      </c>
      <c r="H34" s="119">
        <f>13005+24287.7</f>
        <v>37292.7</v>
      </c>
      <c r="I34" s="119">
        <v>0</v>
      </c>
    </row>
    <row r="35" spans="1:9" ht="13.5">
      <c r="A35" s="13" t="s">
        <v>476</v>
      </c>
      <c r="B35" s="14">
        <v>50000</v>
      </c>
      <c r="C35" s="15"/>
      <c r="F35" s="3" t="s">
        <v>397</v>
      </c>
      <c r="G35" s="2">
        <v>250000</v>
      </c>
      <c r="H35" s="119">
        <v>0</v>
      </c>
      <c r="I35" s="119">
        <v>0</v>
      </c>
    </row>
    <row r="36" spans="1:9" ht="13.5">
      <c r="A36" s="109" t="s">
        <v>363</v>
      </c>
      <c r="B36" s="110">
        <v>100000</v>
      </c>
      <c r="C36" s="111"/>
      <c r="F36" s="3" t="s">
        <v>394</v>
      </c>
      <c r="G36" s="2">
        <v>0</v>
      </c>
      <c r="H36" s="119">
        <v>50386.65</v>
      </c>
      <c r="I36" s="119">
        <v>0</v>
      </c>
    </row>
    <row r="37" spans="1:9" ht="13.5">
      <c r="A37" s="3" t="s">
        <v>477</v>
      </c>
      <c r="B37" s="2">
        <v>20000</v>
      </c>
      <c r="C37" s="3"/>
      <c r="F37" s="3" t="s">
        <v>406</v>
      </c>
      <c r="G37" s="2">
        <v>0</v>
      </c>
      <c r="H37" s="119">
        <v>0</v>
      </c>
      <c r="I37" s="119">
        <f>64801+7109</f>
        <v>71910</v>
      </c>
    </row>
    <row r="38" spans="1:9" ht="13.5">
      <c r="A38" s="3" t="s">
        <v>479</v>
      </c>
      <c r="B38" s="2">
        <v>150000</v>
      </c>
      <c r="C38" s="3"/>
      <c r="F38" s="3" t="s">
        <v>441</v>
      </c>
      <c r="G38" s="2">
        <v>0</v>
      </c>
      <c r="H38" s="119">
        <v>5324</v>
      </c>
      <c r="I38" s="119">
        <v>0</v>
      </c>
    </row>
    <row r="39" spans="1:8" ht="13.5">
      <c r="A39" s="3" t="s">
        <v>480</v>
      </c>
      <c r="B39" s="2">
        <v>250000</v>
      </c>
      <c r="C39" s="415"/>
      <c r="G39" s="16">
        <f>SUM(G30:G38)</f>
        <v>880000</v>
      </c>
      <c r="H39" s="16">
        <f>SUM(H30:H38)</f>
        <v>1118988.8499999999</v>
      </c>
    </row>
    <row r="40" spans="1:3" ht="13.5">
      <c r="A40" s="109" t="s">
        <v>255</v>
      </c>
      <c r="B40" s="110">
        <v>30000</v>
      </c>
      <c r="C40" s="10" t="s">
        <v>461</v>
      </c>
    </row>
    <row r="41" spans="1:3" ht="13.5">
      <c r="A41" s="109" t="s">
        <v>364</v>
      </c>
      <c r="B41" s="110">
        <v>190000</v>
      </c>
      <c r="C41" s="10" t="s">
        <v>461</v>
      </c>
    </row>
    <row r="42" spans="1:3" ht="13.5">
      <c r="A42" s="109" t="s">
        <v>3</v>
      </c>
      <c r="B42" s="110">
        <v>100000</v>
      </c>
      <c r="C42" s="10" t="s">
        <v>461</v>
      </c>
    </row>
    <row r="43" spans="1:3" ht="13.5">
      <c r="A43" s="6"/>
      <c r="B43" s="280">
        <f>SUM(B30:B39)</f>
        <v>1505000</v>
      </c>
      <c r="C43" s="123" t="s">
        <v>486</v>
      </c>
    </row>
    <row r="44" spans="2:3" ht="13.5">
      <c r="B44" s="16">
        <f>SUM(B32:B39)+800000*0.4</f>
        <v>1025000</v>
      </c>
      <c r="C44" s="124" t="s">
        <v>487</v>
      </c>
    </row>
    <row r="47" spans="1:9" ht="35.25">
      <c r="A47" s="12" t="s">
        <v>6</v>
      </c>
      <c r="B47" s="4" t="s">
        <v>0</v>
      </c>
      <c r="C47" s="5" t="s">
        <v>1</v>
      </c>
      <c r="G47" s="274" t="s">
        <v>409</v>
      </c>
      <c r="H47" s="274" t="s">
        <v>408</v>
      </c>
      <c r="I47" s="274" t="s">
        <v>407</v>
      </c>
    </row>
    <row r="48" spans="1:9" ht="13.5">
      <c r="A48" s="112" t="s">
        <v>19</v>
      </c>
      <c r="B48" s="113">
        <v>105000</v>
      </c>
      <c r="C48" s="114" t="s">
        <v>461</v>
      </c>
      <c r="F48" s="3" t="s">
        <v>423</v>
      </c>
      <c r="G48" s="2">
        <v>80000</v>
      </c>
      <c r="H48" s="2">
        <v>47190</v>
      </c>
      <c r="I48" s="3"/>
    </row>
    <row r="49" spans="1:9" ht="13.5">
      <c r="A49" s="13" t="s">
        <v>371</v>
      </c>
      <c r="B49" s="14">
        <v>350000</v>
      </c>
      <c r="C49" s="15"/>
      <c r="F49" s="3" t="s">
        <v>398</v>
      </c>
      <c r="G49" s="2">
        <v>105000</v>
      </c>
      <c r="H49" s="3">
        <v>0</v>
      </c>
      <c r="I49" s="3"/>
    </row>
    <row r="50" spans="1:9" ht="13.5">
      <c r="A50" s="13" t="s">
        <v>372</v>
      </c>
      <c r="B50" s="14">
        <v>350000</v>
      </c>
      <c r="C50" s="15" t="s">
        <v>450</v>
      </c>
      <c r="F50" s="3" t="s">
        <v>21</v>
      </c>
      <c r="G50" s="2">
        <v>65000</v>
      </c>
      <c r="H50" s="2">
        <f>45698+40154</f>
        <v>85852</v>
      </c>
      <c r="I50" s="3">
        <v>0</v>
      </c>
    </row>
    <row r="51" spans="1:9" ht="13.5">
      <c r="A51" s="13" t="s">
        <v>467</v>
      </c>
      <c r="B51" s="14">
        <v>70000</v>
      </c>
      <c r="C51" s="15"/>
      <c r="F51" s="3" t="s">
        <v>400</v>
      </c>
      <c r="G51" s="2">
        <v>262000</v>
      </c>
      <c r="H51" s="2">
        <f>63634+1512+12052+5550</f>
        <v>82748</v>
      </c>
      <c r="I51" s="3"/>
    </row>
    <row r="52" spans="1:9" ht="13.5">
      <c r="A52" s="13"/>
      <c r="B52" s="14"/>
      <c r="C52" s="15"/>
      <c r="F52" s="3" t="s">
        <v>399</v>
      </c>
      <c r="G52" s="2">
        <v>80000</v>
      </c>
      <c r="H52" s="3"/>
      <c r="I52" s="3"/>
    </row>
    <row r="53" spans="1:9" ht="13.5">
      <c r="A53" s="6"/>
      <c r="B53" s="8">
        <f>SUM(B49:B51)</f>
        <v>770000</v>
      </c>
      <c r="C53" s="123" t="s">
        <v>486</v>
      </c>
      <c r="F53" s="3" t="s">
        <v>439</v>
      </c>
      <c r="G53" s="2">
        <v>50000</v>
      </c>
      <c r="H53" s="3"/>
      <c r="I53" s="3"/>
    </row>
    <row r="54" spans="2:9" ht="13.5">
      <c r="B54" s="16">
        <f>SUM(B49:B52)</f>
        <v>770000</v>
      </c>
      <c r="C54" s="124" t="s">
        <v>487</v>
      </c>
      <c r="F54" s="3" t="s">
        <v>405</v>
      </c>
      <c r="G54" s="2">
        <v>0</v>
      </c>
      <c r="H54" s="2">
        <v>29645</v>
      </c>
      <c r="I54" s="2">
        <v>15000</v>
      </c>
    </row>
    <row r="55" spans="7:8" ht="13.5">
      <c r="G55" s="16">
        <f>SUM(G48:G54)</f>
        <v>642000</v>
      </c>
      <c r="H55" s="16">
        <f>SUM(H48:H54)</f>
        <v>245435</v>
      </c>
    </row>
    <row r="60" spans="1:9" ht="35.25">
      <c r="A60" s="12" t="s">
        <v>5</v>
      </c>
      <c r="B60" s="4" t="s">
        <v>0</v>
      </c>
      <c r="C60" s="5" t="s">
        <v>1</v>
      </c>
      <c r="G60" s="274" t="s">
        <v>409</v>
      </c>
      <c r="H60" s="274" t="s">
        <v>408</v>
      </c>
      <c r="I60" s="274" t="s">
        <v>407</v>
      </c>
    </row>
    <row r="61" spans="1:9" ht="13.5">
      <c r="A61" s="7" t="s">
        <v>20</v>
      </c>
      <c r="B61" s="9">
        <v>55000</v>
      </c>
      <c r="C61" s="15" t="s">
        <v>2</v>
      </c>
      <c r="F61" s="3" t="s">
        <v>20</v>
      </c>
      <c r="G61" s="2">
        <v>55000</v>
      </c>
      <c r="H61" s="3">
        <v>0</v>
      </c>
      <c r="I61" s="3">
        <v>0</v>
      </c>
    </row>
    <row r="62" spans="1:9" ht="13.5">
      <c r="A62" s="7" t="s">
        <v>358</v>
      </c>
      <c r="B62" s="9">
        <v>5000</v>
      </c>
      <c r="C62" s="15" t="s">
        <v>357</v>
      </c>
      <c r="F62" s="3" t="s">
        <v>401</v>
      </c>
      <c r="G62" s="2">
        <v>5000</v>
      </c>
      <c r="H62" s="3">
        <v>0</v>
      </c>
      <c r="I62" s="3">
        <v>0</v>
      </c>
    </row>
    <row r="63" spans="1:9" ht="13.5">
      <c r="A63" s="7" t="s">
        <v>359</v>
      </c>
      <c r="B63" s="9">
        <v>50000</v>
      </c>
      <c r="C63" s="15" t="s">
        <v>357</v>
      </c>
      <c r="F63" s="3" t="s">
        <v>402</v>
      </c>
      <c r="G63" s="2">
        <v>50000</v>
      </c>
      <c r="H63" s="3">
        <v>0</v>
      </c>
      <c r="I63" s="3">
        <v>0</v>
      </c>
    </row>
    <row r="64" spans="1:9" ht="13.5">
      <c r="A64" s="112" t="s">
        <v>259</v>
      </c>
      <c r="B64" s="113">
        <v>200000</v>
      </c>
      <c r="C64" s="114" t="s">
        <v>481</v>
      </c>
      <c r="F64" s="3" t="s">
        <v>403</v>
      </c>
      <c r="G64" s="2">
        <v>100000</v>
      </c>
      <c r="H64" s="3">
        <v>0</v>
      </c>
      <c r="I64" s="3">
        <v>0</v>
      </c>
    </row>
    <row r="65" spans="1:9" ht="13.5">
      <c r="A65" s="13" t="s">
        <v>260</v>
      </c>
      <c r="B65" s="14">
        <v>200000</v>
      </c>
      <c r="C65" s="15"/>
      <c r="F65" s="3" t="s">
        <v>404</v>
      </c>
      <c r="G65" s="2">
        <v>200000</v>
      </c>
      <c r="H65" s="3">
        <v>0</v>
      </c>
      <c r="I65" s="279" t="s">
        <v>422</v>
      </c>
    </row>
    <row r="66" spans="1:7" ht="13.5">
      <c r="A66" s="6"/>
      <c r="B66" s="280">
        <f>B61+B62+B63+B65</f>
        <v>310000</v>
      </c>
      <c r="C66" s="123" t="s">
        <v>486</v>
      </c>
      <c r="G66" s="16">
        <f>SUM(G61:G65)</f>
        <v>410000</v>
      </c>
    </row>
    <row r="67" spans="1:3" ht="13.5">
      <c r="A67" s="6"/>
      <c r="B67" s="8">
        <v>310000</v>
      </c>
      <c r="C67" s="124" t="s">
        <v>487</v>
      </c>
    </row>
    <row r="68" spans="1:3" ht="13.5">
      <c r="A68" s="6"/>
      <c r="B68" s="8"/>
      <c r="C68" s="6"/>
    </row>
    <row r="71" spans="1:9" ht="30">
      <c r="A71" s="11" t="s">
        <v>8</v>
      </c>
      <c r="B71" s="4" t="s">
        <v>0</v>
      </c>
      <c r="C71" s="5" t="s">
        <v>1</v>
      </c>
      <c r="G71" s="274" t="s">
        <v>409</v>
      </c>
      <c r="H71" s="274" t="s">
        <v>408</v>
      </c>
      <c r="I71" s="274" t="s">
        <v>407</v>
      </c>
    </row>
    <row r="72" spans="1:9" ht="16.5" customHeight="1">
      <c r="A72" s="13" t="s">
        <v>10</v>
      </c>
      <c r="B72" s="272">
        <v>500000</v>
      </c>
      <c r="C72" s="273" t="s">
        <v>448</v>
      </c>
      <c r="F72" s="3" t="s">
        <v>384</v>
      </c>
      <c r="G72" s="2">
        <v>400000</v>
      </c>
      <c r="H72" s="2">
        <v>594481</v>
      </c>
      <c r="I72" s="3">
        <v>0</v>
      </c>
    </row>
    <row r="73" spans="1:9" ht="15.75" customHeight="1">
      <c r="A73" s="112" t="s">
        <v>9</v>
      </c>
      <c r="B73" s="113">
        <v>300000</v>
      </c>
      <c r="C73" s="114" t="s">
        <v>461</v>
      </c>
      <c r="F73" s="3" t="s">
        <v>385</v>
      </c>
      <c r="G73" s="3"/>
      <c r="H73" s="2">
        <v>47269</v>
      </c>
      <c r="I73" s="3">
        <v>0</v>
      </c>
    </row>
    <row r="74" spans="1:9" ht="15" customHeight="1">
      <c r="A74" s="112" t="s">
        <v>11</v>
      </c>
      <c r="B74" s="113">
        <v>20000</v>
      </c>
      <c r="C74" s="114" t="s">
        <v>464</v>
      </c>
      <c r="F74" s="3" t="s">
        <v>386</v>
      </c>
      <c r="G74" s="2">
        <v>60000</v>
      </c>
      <c r="H74" s="2">
        <v>63615</v>
      </c>
      <c r="I74" s="3">
        <v>0</v>
      </c>
    </row>
    <row r="75" spans="1:9" ht="13.5">
      <c r="A75" s="13" t="s">
        <v>12</v>
      </c>
      <c r="B75" s="14">
        <v>70000</v>
      </c>
      <c r="C75" s="10"/>
      <c r="F75" s="3" t="s">
        <v>387</v>
      </c>
      <c r="G75" s="2">
        <v>250000</v>
      </c>
      <c r="H75" s="2">
        <v>8470</v>
      </c>
      <c r="I75" s="3">
        <v>0</v>
      </c>
    </row>
    <row r="76" spans="1:9" ht="13.5">
      <c r="A76" s="3" t="s">
        <v>13</v>
      </c>
      <c r="B76" s="2">
        <v>455000</v>
      </c>
      <c r="C76" s="10" t="s">
        <v>488</v>
      </c>
      <c r="F76" s="3" t="s">
        <v>388</v>
      </c>
      <c r="G76" s="3"/>
      <c r="H76" s="2">
        <v>7986</v>
      </c>
      <c r="I76" s="3">
        <v>0</v>
      </c>
    </row>
    <row r="77" spans="1:9" ht="13.5">
      <c r="A77" s="3" t="s">
        <v>14</v>
      </c>
      <c r="B77" s="2">
        <v>10000</v>
      </c>
      <c r="C77" s="10"/>
      <c r="F77" s="3" t="s">
        <v>389</v>
      </c>
      <c r="G77" s="3"/>
      <c r="H77" s="2">
        <v>16000</v>
      </c>
      <c r="I77" s="3">
        <v>0</v>
      </c>
    </row>
    <row r="78" spans="1:8" ht="13.5">
      <c r="A78" s="112" t="s">
        <v>15</v>
      </c>
      <c r="B78" s="113"/>
      <c r="C78" s="114" t="s">
        <v>464</v>
      </c>
      <c r="G78" s="16">
        <f>SUM(G72:G77)</f>
        <v>710000</v>
      </c>
      <c r="H78" s="16">
        <f>SUM(H72:H77)</f>
        <v>737821</v>
      </c>
    </row>
    <row r="79" spans="1:3" ht="13.5">
      <c r="A79" s="112" t="s">
        <v>265</v>
      </c>
      <c r="B79" s="113">
        <v>50000</v>
      </c>
      <c r="C79" s="114" t="s">
        <v>461</v>
      </c>
    </row>
    <row r="80" spans="1:3" ht="13.5">
      <c r="A80" s="3" t="s">
        <v>376</v>
      </c>
      <c r="B80" s="2">
        <v>500000</v>
      </c>
      <c r="C80" s="10"/>
    </row>
    <row r="81" spans="2:3" ht="13.5">
      <c r="B81" s="16">
        <f>B72+B75+B76+B77+B80</f>
        <v>1535000</v>
      </c>
      <c r="C81" s="123" t="s">
        <v>486</v>
      </c>
    </row>
    <row r="82" spans="2:3" ht="13.5">
      <c r="B82" s="16">
        <f>B72+B75+B77+B80+23000</f>
        <v>1103000</v>
      </c>
      <c r="C82" s="124" t="s">
        <v>487</v>
      </c>
    </row>
    <row r="86" ht="13.5">
      <c r="B86" s="116"/>
    </row>
    <row r="88" spans="1:9" ht="30">
      <c r="A88" s="11" t="s">
        <v>267</v>
      </c>
      <c r="B88" s="4" t="s">
        <v>0</v>
      </c>
      <c r="C88" s="5" t="s">
        <v>1</v>
      </c>
      <c r="G88" s="274" t="s">
        <v>409</v>
      </c>
      <c r="H88" s="274" t="s">
        <v>408</v>
      </c>
      <c r="I88" s="274" t="s">
        <v>407</v>
      </c>
    </row>
    <row r="89" spans="1:9" ht="13.5">
      <c r="A89" s="7" t="s">
        <v>266</v>
      </c>
      <c r="B89" s="9">
        <v>3000000</v>
      </c>
      <c r="C89" s="10" t="s">
        <v>466</v>
      </c>
      <c r="F89" s="13" t="s">
        <v>266</v>
      </c>
      <c r="G89" s="2">
        <v>1500000</v>
      </c>
      <c r="H89" s="3">
        <v>0</v>
      </c>
      <c r="I89" s="3">
        <v>0</v>
      </c>
    </row>
    <row r="90" spans="1:9" ht="13.5">
      <c r="A90" s="7" t="s">
        <v>254</v>
      </c>
      <c r="B90" s="9">
        <v>1500000</v>
      </c>
      <c r="C90" s="10" t="s">
        <v>269</v>
      </c>
      <c r="F90" s="13" t="s">
        <v>254</v>
      </c>
      <c r="G90" s="3">
        <v>0</v>
      </c>
      <c r="H90" s="3">
        <v>0</v>
      </c>
      <c r="I90" s="3">
        <v>0</v>
      </c>
    </row>
    <row r="91" spans="1:9" ht="13.5">
      <c r="A91" s="7" t="s">
        <v>17</v>
      </c>
      <c r="B91" s="9">
        <v>400000</v>
      </c>
      <c r="C91" s="10" t="s">
        <v>2</v>
      </c>
      <c r="F91" s="13" t="s">
        <v>17</v>
      </c>
      <c r="G91" s="2">
        <v>400000</v>
      </c>
      <c r="H91" s="3">
        <v>0</v>
      </c>
      <c r="I91" s="3">
        <v>0</v>
      </c>
    </row>
    <row r="92" spans="1:7" ht="13.5">
      <c r="A92" s="3" t="s">
        <v>465</v>
      </c>
      <c r="B92" s="2">
        <v>600000</v>
      </c>
      <c r="C92" s="3"/>
      <c r="G92" s="16">
        <f>SUM(G89:G91)</f>
        <v>1900000</v>
      </c>
    </row>
    <row r="93" spans="1:3" ht="13.5">
      <c r="A93" s="13" t="s">
        <v>410</v>
      </c>
      <c r="B93" s="14">
        <v>110000</v>
      </c>
      <c r="C93" s="15"/>
    </row>
    <row r="94" spans="2:3" ht="13.5">
      <c r="B94" s="16">
        <f>SUM(B89:B93)</f>
        <v>5610000</v>
      </c>
      <c r="C94" s="123" t="s">
        <v>486</v>
      </c>
    </row>
    <row r="95" spans="2:3" ht="13.5">
      <c r="B95" s="16">
        <f>3000000*0.3+1500000*0.5+B91+B92+B93</f>
        <v>2760000</v>
      </c>
      <c r="C95" s="124" t="s">
        <v>487</v>
      </c>
    </row>
    <row r="99" spans="1:9" ht="30">
      <c r="A99" s="11" t="s">
        <v>411</v>
      </c>
      <c r="B99" s="4" t="s">
        <v>0</v>
      </c>
      <c r="C99" s="5" t="s">
        <v>1</v>
      </c>
      <c r="G99" s="274" t="s">
        <v>409</v>
      </c>
      <c r="H99" s="274" t="s">
        <v>408</v>
      </c>
      <c r="I99" s="274" t="s">
        <v>407</v>
      </c>
    </row>
    <row r="100" spans="1:9" ht="13.5">
      <c r="A100" s="13" t="s">
        <v>412</v>
      </c>
      <c r="B100" s="14">
        <v>10000</v>
      </c>
      <c r="C100" s="15" t="s">
        <v>447</v>
      </c>
      <c r="F100" s="13" t="s">
        <v>412</v>
      </c>
      <c r="G100" s="2">
        <v>10000</v>
      </c>
      <c r="H100" s="2">
        <v>9093</v>
      </c>
      <c r="I100" s="3"/>
    </row>
    <row r="101" spans="1:9" ht="13.5">
      <c r="A101" s="13" t="s">
        <v>146</v>
      </c>
      <c r="B101" s="14">
        <v>18000</v>
      </c>
      <c r="C101" s="15" t="s">
        <v>447</v>
      </c>
      <c r="F101" s="13" t="s">
        <v>421</v>
      </c>
      <c r="G101" s="2">
        <v>12000</v>
      </c>
      <c r="H101" s="2">
        <v>18058</v>
      </c>
      <c r="I101" s="3"/>
    </row>
    <row r="102" spans="1:9" ht="13.5">
      <c r="A102" s="13" t="s">
        <v>413</v>
      </c>
      <c r="B102" s="14">
        <v>10000</v>
      </c>
      <c r="C102" s="15" t="s">
        <v>469</v>
      </c>
      <c r="D102" s="116"/>
      <c r="F102" s="13" t="s">
        <v>434</v>
      </c>
      <c r="G102" s="2">
        <v>18000</v>
      </c>
      <c r="H102" s="2">
        <v>229</v>
      </c>
      <c r="I102" s="3"/>
    </row>
    <row r="103" spans="1:9" ht="13.5">
      <c r="A103" s="13" t="s">
        <v>435</v>
      </c>
      <c r="B103" s="14">
        <v>1000</v>
      </c>
      <c r="C103" s="15"/>
      <c r="F103" s="13" t="s">
        <v>435</v>
      </c>
      <c r="G103" s="2">
        <v>30000</v>
      </c>
      <c r="H103" s="2">
        <v>68710</v>
      </c>
      <c r="I103" s="3"/>
    </row>
    <row r="104" spans="1:9" ht="13.5">
      <c r="A104" s="13" t="s">
        <v>414</v>
      </c>
      <c r="B104" s="14">
        <v>10000</v>
      </c>
      <c r="C104" s="15"/>
      <c r="D104" s="116"/>
      <c r="F104" s="13" t="s">
        <v>414</v>
      </c>
      <c r="G104" s="2">
        <v>7000</v>
      </c>
      <c r="H104" s="2">
        <v>7000</v>
      </c>
      <c r="I104" s="3"/>
    </row>
    <row r="105" spans="1:9" ht="13.5">
      <c r="A105" s="13" t="s">
        <v>445</v>
      </c>
      <c r="B105" s="14">
        <v>10000</v>
      </c>
      <c r="C105" s="15"/>
      <c r="D105" s="116"/>
      <c r="F105" s="13"/>
      <c r="G105" s="2"/>
      <c r="H105" s="2"/>
      <c r="I105" s="3"/>
    </row>
    <row r="106" spans="1:9" ht="13.5">
      <c r="A106" s="13" t="s">
        <v>417</v>
      </c>
      <c r="B106" s="14">
        <v>2000</v>
      </c>
      <c r="C106" s="15"/>
      <c r="F106" s="13" t="s">
        <v>417</v>
      </c>
      <c r="G106" s="2">
        <v>5000</v>
      </c>
      <c r="H106" s="2">
        <v>1550</v>
      </c>
      <c r="I106" s="3"/>
    </row>
    <row r="107" spans="1:9" ht="13.5">
      <c r="A107" s="13" t="s">
        <v>419</v>
      </c>
      <c r="B107" s="14">
        <v>8000</v>
      </c>
      <c r="C107" s="15" t="s">
        <v>470</v>
      </c>
      <c r="D107" s="116"/>
      <c r="F107" s="13" t="s">
        <v>419</v>
      </c>
      <c r="G107" s="2">
        <v>5000</v>
      </c>
      <c r="H107" s="2">
        <v>4353</v>
      </c>
      <c r="I107" s="3"/>
    </row>
    <row r="108" spans="1:9" ht="13.5">
      <c r="A108" s="13" t="s">
        <v>420</v>
      </c>
      <c r="B108" s="14">
        <v>10000</v>
      </c>
      <c r="C108" s="15"/>
      <c r="D108" s="116"/>
      <c r="F108" s="13" t="s">
        <v>420</v>
      </c>
      <c r="G108" s="2">
        <v>2000</v>
      </c>
      <c r="H108" s="2">
        <v>5741</v>
      </c>
      <c r="I108" s="3"/>
    </row>
    <row r="109" spans="1:9" ht="13.5">
      <c r="A109" s="13" t="s">
        <v>431</v>
      </c>
      <c r="B109" s="14"/>
      <c r="C109" s="15"/>
      <c r="F109" s="13" t="s">
        <v>431</v>
      </c>
      <c r="G109" s="2">
        <v>6000</v>
      </c>
      <c r="H109" s="2">
        <v>7260</v>
      </c>
      <c r="I109" s="3"/>
    </row>
    <row r="110" spans="1:9" ht="13.5">
      <c r="A110" s="13" t="s">
        <v>443</v>
      </c>
      <c r="B110" s="14">
        <v>3000</v>
      </c>
      <c r="C110" s="15"/>
      <c r="D110" s="116"/>
      <c r="F110" s="13" t="s">
        <v>432</v>
      </c>
      <c r="G110" s="2">
        <v>2000</v>
      </c>
      <c r="H110" s="3"/>
      <c r="I110" s="2">
        <v>2000</v>
      </c>
    </row>
    <row r="111" spans="1:9" ht="13.5">
      <c r="A111" s="13" t="s">
        <v>444</v>
      </c>
      <c r="B111" s="14"/>
      <c r="C111" s="15"/>
      <c r="F111" s="13"/>
      <c r="G111" s="2"/>
      <c r="H111" s="3"/>
      <c r="I111" s="3"/>
    </row>
    <row r="112" spans="1:9" ht="13.5">
      <c r="A112" s="13"/>
      <c r="B112" s="14"/>
      <c r="C112" s="15"/>
      <c r="F112" s="13" t="s">
        <v>438</v>
      </c>
      <c r="G112" s="2">
        <v>6000</v>
      </c>
      <c r="H112" s="2">
        <v>13600</v>
      </c>
      <c r="I112" s="3"/>
    </row>
    <row r="113" spans="1:8" ht="13.5">
      <c r="A113" s="13" t="s">
        <v>442</v>
      </c>
      <c r="B113" s="14">
        <v>5000</v>
      </c>
      <c r="C113" s="15"/>
      <c r="D113" s="116"/>
      <c r="F113" s="277"/>
      <c r="G113" s="16">
        <f>SUM(G100:G112)</f>
        <v>103000</v>
      </c>
      <c r="H113" s="16">
        <f>SUM(H100:H112)</f>
        <v>135594</v>
      </c>
    </row>
    <row r="114" spans="2:3" ht="13.5">
      <c r="B114" s="16">
        <f>SUM(B100:B113)</f>
        <v>87000</v>
      </c>
      <c r="C114" s="124" t="s">
        <v>365</v>
      </c>
    </row>
    <row r="118" spans="1:9" ht="30">
      <c r="A118" s="11" t="s">
        <v>416</v>
      </c>
      <c r="B118" s="4" t="s">
        <v>0</v>
      </c>
      <c r="C118" s="5" t="s">
        <v>1</v>
      </c>
      <c r="G118" s="278" t="s">
        <v>409</v>
      </c>
      <c r="H118" s="278" t="s">
        <v>408</v>
      </c>
      <c r="I118" s="278" t="s">
        <v>407</v>
      </c>
    </row>
    <row r="119" spans="1:9" ht="13.5">
      <c r="A119" s="13" t="s">
        <v>462</v>
      </c>
      <c r="B119" s="14">
        <v>2000</v>
      </c>
      <c r="C119" s="15"/>
      <c r="F119" s="13" t="s">
        <v>414</v>
      </c>
      <c r="G119" s="2">
        <v>1000</v>
      </c>
      <c r="H119" s="3">
        <v>621</v>
      </c>
      <c r="I119" s="3"/>
    </row>
    <row r="120" spans="1:9" ht="13.5">
      <c r="A120" s="13" t="s">
        <v>418</v>
      </c>
      <c r="B120" s="14">
        <v>20000</v>
      </c>
      <c r="C120" s="15" t="s">
        <v>474</v>
      </c>
      <c r="D120" s="116"/>
      <c r="F120" s="13" t="s">
        <v>418</v>
      </c>
      <c r="G120" s="2">
        <v>27600</v>
      </c>
      <c r="H120" s="2">
        <v>19800</v>
      </c>
      <c r="I120" s="3"/>
    </row>
    <row r="121" spans="1:9" ht="13.5">
      <c r="A121" s="13" t="s">
        <v>419</v>
      </c>
      <c r="B121" s="14">
        <v>2300</v>
      </c>
      <c r="C121" s="15"/>
      <c r="D121" s="116"/>
      <c r="F121" s="13" t="s">
        <v>417</v>
      </c>
      <c r="G121" s="2">
        <v>1000</v>
      </c>
      <c r="H121" s="3">
        <v>755</v>
      </c>
      <c r="I121" s="3"/>
    </row>
    <row r="122" spans="1:9" ht="13.5">
      <c r="A122" s="13" t="s">
        <v>431</v>
      </c>
      <c r="B122" s="14">
        <v>10000</v>
      </c>
      <c r="C122" s="15" t="s">
        <v>473</v>
      </c>
      <c r="D122" s="116"/>
      <c r="F122" s="13" t="s">
        <v>446</v>
      </c>
      <c r="G122" s="2">
        <v>19950</v>
      </c>
      <c r="H122" s="3"/>
      <c r="I122" s="3"/>
    </row>
    <row r="123" spans="1:9" ht="13.5">
      <c r="A123" s="13" t="s">
        <v>463</v>
      </c>
      <c r="B123" s="14">
        <v>2700</v>
      </c>
      <c r="C123" s="15" t="s">
        <v>472</v>
      </c>
      <c r="D123" s="116"/>
      <c r="F123" s="3"/>
      <c r="G123" s="3"/>
      <c r="H123" s="3"/>
      <c r="I123" s="3"/>
    </row>
    <row r="124" spans="1:9" ht="13.5">
      <c r="A124" s="3"/>
      <c r="B124" s="3"/>
      <c r="C124" s="3"/>
      <c r="F124" s="3"/>
      <c r="G124" s="3"/>
      <c r="H124" s="3"/>
      <c r="I124" s="3"/>
    </row>
    <row r="125" spans="1:9" ht="13.5">
      <c r="A125" s="13" t="s">
        <v>417</v>
      </c>
      <c r="B125" s="14">
        <v>1000</v>
      </c>
      <c r="C125" s="15" t="s">
        <v>471</v>
      </c>
      <c r="F125" s="3"/>
      <c r="G125" s="3"/>
      <c r="H125" s="3"/>
      <c r="I125" s="3"/>
    </row>
    <row r="126" spans="2:8" ht="13.5">
      <c r="B126" s="16">
        <f>SUM(B119:B125)</f>
        <v>38000</v>
      </c>
      <c r="C126" s="124" t="s">
        <v>365</v>
      </c>
      <c r="G126" s="16">
        <f>SUM(G119:G125)</f>
        <v>49550</v>
      </c>
      <c r="H126" s="16">
        <f>SUM(H119:H125)</f>
        <v>21176</v>
      </c>
    </row>
    <row r="129" spans="1:9" ht="30">
      <c r="A129" s="11" t="s">
        <v>424</v>
      </c>
      <c r="B129" s="4" t="s">
        <v>0</v>
      </c>
      <c r="C129" s="5" t="s">
        <v>1</v>
      </c>
      <c r="G129" s="278" t="s">
        <v>409</v>
      </c>
      <c r="H129" s="278" t="s">
        <v>408</v>
      </c>
      <c r="I129" s="278" t="s">
        <v>407</v>
      </c>
    </row>
    <row r="130" spans="1:9" ht="13.5">
      <c r="A130" s="13" t="s">
        <v>425</v>
      </c>
      <c r="B130" s="14">
        <v>30000</v>
      </c>
      <c r="C130" s="15" t="s">
        <v>447</v>
      </c>
      <c r="F130" s="13" t="s">
        <v>425</v>
      </c>
      <c r="G130" s="2">
        <v>30000</v>
      </c>
      <c r="H130" s="3"/>
      <c r="I130" s="3"/>
    </row>
    <row r="131" spans="1:9" ht="13.5">
      <c r="A131" s="13" t="s">
        <v>426</v>
      </c>
      <c r="B131" s="14">
        <v>9000</v>
      </c>
      <c r="C131" s="15"/>
      <c r="F131" s="13" t="s">
        <v>426</v>
      </c>
      <c r="G131" s="2">
        <v>9000</v>
      </c>
      <c r="H131" s="3"/>
      <c r="I131" s="3"/>
    </row>
    <row r="132" spans="1:9" ht="13.5">
      <c r="A132" s="13" t="s">
        <v>427</v>
      </c>
      <c r="B132" s="14">
        <v>18000</v>
      </c>
      <c r="C132" s="15"/>
      <c r="F132" s="13" t="s">
        <v>427</v>
      </c>
      <c r="G132" s="2">
        <v>18000</v>
      </c>
      <c r="H132" s="3"/>
      <c r="I132" s="3"/>
    </row>
    <row r="133" spans="1:9" ht="13.5">
      <c r="A133" s="3" t="s">
        <v>428</v>
      </c>
      <c r="B133" s="2">
        <v>10000</v>
      </c>
      <c r="C133" s="3"/>
      <c r="F133" s="3" t="s">
        <v>428</v>
      </c>
      <c r="G133" s="2">
        <v>10000</v>
      </c>
      <c r="H133" s="3">
        <v>0</v>
      </c>
      <c r="I133" s="2">
        <v>10000</v>
      </c>
    </row>
    <row r="134" spans="1:9" ht="13.5">
      <c r="A134" s="3" t="s">
        <v>429</v>
      </c>
      <c r="B134" s="2">
        <v>5000</v>
      </c>
      <c r="C134" s="3"/>
      <c r="F134" s="3" t="s">
        <v>429</v>
      </c>
      <c r="G134" s="2">
        <v>5000</v>
      </c>
      <c r="H134" s="3">
        <v>0</v>
      </c>
      <c r="I134" s="2">
        <v>5000</v>
      </c>
    </row>
    <row r="135" spans="1:9" ht="13.5">
      <c r="A135" s="3" t="s">
        <v>430</v>
      </c>
      <c r="B135" s="3"/>
      <c r="C135" s="3"/>
      <c r="F135" s="3" t="s">
        <v>430</v>
      </c>
      <c r="G135" s="2">
        <v>2000</v>
      </c>
      <c r="H135" s="3"/>
      <c r="I135" s="3"/>
    </row>
    <row r="136" spans="1:9" ht="13.5">
      <c r="A136" s="3" t="s">
        <v>492</v>
      </c>
      <c r="B136" s="2">
        <v>6000</v>
      </c>
      <c r="C136" s="3"/>
      <c r="F136" s="13" t="s">
        <v>440</v>
      </c>
      <c r="G136" s="2">
        <v>8000</v>
      </c>
      <c r="H136" s="3"/>
      <c r="I136" s="3"/>
    </row>
    <row r="137" spans="1:9" ht="13.5">
      <c r="A137" s="13" t="s">
        <v>440</v>
      </c>
      <c r="B137" s="2">
        <v>8000</v>
      </c>
      <c r="C137" s="3"/>
      <c r="F137" s="13" t="s">
        <v>436</v>
      </c>
      <c r="G137" s="2">
        <v>2500</v>
      </c>
      <c r="H137" s="2">
        <v>2517</v>
      </c>
      <c r="I137" s="3">
        <v>0</v>
      </c>
    </row>
    <row r="138" spans="1:9" ht="13.5">
      <c r="A138" s="13" t="s">
        <v>490</v>
      </c>
      <c r="B138" s="14">
        <v>2800</v>
      </c>
      <c r="C138" s="15"/>
      <c r="F138" s="13" t="s">
        <v>437</v>
      </c>
      <c r="G138" s="2"/>
      <c r="H138" s="3"/>
      <c r="I138" s="3"/>
    </row>
    <row r="139" spans="1:9" ht="13.5">
      <c r="A139" s="13" t="s">
        <v>491</v>
      </c>
      <c r="B139" s="14">
        <v>6000</v>
      </c>
      <c r="C139" s="3"/>
      <c r="F139" s="13" t="s">
        <v>433</v>
      </c>
      <c r="G139" s="2">
        <v>3000</v>
      </c>
      <c r="H139" s="3"/>
      <c r="I139" s="2">
        <v>3000</v>
      </c>
    </row>
    <row r="140" spans="1:9" ht="13.5">
      <c r="A140" s="13" t="s">
        <v>433</v>
      </c>
      <c r="B140" s="14">
        <v>3000</v>
      </c>
      <c r="C140" s="15"/>
      <c r="F140" s="13" t="s">
        <v>415</v>
      </c>
      <c r="G140" s="2">
        <v>0</v>
      </c>
      <c r="H140" s="2">
        <v>6580</v>
      </c>
      <c r="I140" s="3"/>
    </row>
    <row r="141" spans="1:8" ht="13.5">
      <c r="A141" s="13" t="s">
        <v>431</v>
      </c>
      <c r="B141" s="14">
        <v>9000</v>
      </c>
      <c r="C141" s="15"/>
      <c r="G141" s="16">
        <f>SUM(G130:G140)</f>
        <v>87500</v>
      </c>
      <c r="H141" s="16">
        <f>SUM(H130:H140)</f>
        <v>9097</v>
      </c>
    </row>
    <row r="142" spans="2:3" ht="13.5">
      <c r="B142" s="16">
        <f>SUM(B130:B141)</f>
        <v>106800</v>
      </c>
      <c r="C142" s="124" t="s">
        <v>365</v>
      </c>
    </row>
  </sheetData>
  <sheetProtection/>
  <printOptions/>
  <pageMargins left="0.11811023622047245" right="0" top="0.1968503937007874" bottom="0.1968503937007874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="80" zoomScaleNormal="80" zoomScalePageLayoutView="0" workbookViewId="0" topLeftCell="A16">
      <selection activeCell="H37" sqref="H37"/>
    </sheetView>
  </sheetViews>
  <sheetFormatPr defaultColWidth="9.00390625" defaultRowHeight="14.25"/>
  <cols>
    <col min="4" max="4" width="45.50390625" style="0" customWidth="1"/>
    <col min="5" max="6" width="21.875" style="0" customWidth="1"/>
    <col min="7" max="7" width="17.50390625" style="0" customWidth="1"/>
    <col min="8" max="8" width="15.125" style="0" customWidth="1"/>
  </cols>
  <sheetData>
    <row r="1" spans="2:7" ht="41.25" thickBot="1">
      <c r="B1" s="416" t="s">
        <v>22</v>
      </c>
      <c r="C1" s="416"/>
      <c r="D1" s="416"/>
      <c r="E1" s="417"/>
      <c r="F1" s="294" t="s">
        <v>451</v>
      </c>
      <c r="G1" s="418" t="s">
        <v>366</v>
      </c>
    </row>
    <row r="2" spans="2:7" ht="24" thickBot="1">
      <c r="B2" s="17" t="s">
        <v>23</v>
      </c>
      <c r="C2" s="18" t="s">
        <v>24</v>
      </c>
      <c r="D2" s="18" t="s">
        <v>25</v>
      </c>
      <c r="E2" s="19">
        <v>2017</v>
      </c>
      <c r="F2" s="295"/>
      <c r="G2" s="419"/>
    </row>
    <row r="3" spans="2:7" ht="15.75">
      <c r="B3" s="20"/>
      <c r="C3" s="21"/>
      <c r="D3" s="22" t="s">
        <v>26</v>
      </c>
      <c r="E3" s="23"/>
      <c r="F3" s="296"/>
      <c r="G3" s="283"/>
    </row>
    <row r="4" spans="1:7" ht="15">
      <c r="A4" s="24"/>
      <c r="B4" s="25"/>
      <c r="C4" s="26">
        <v>1111</v>
      </c>
      <c r="D4" s="27" t="s">
        <v>27</v>
      </c>
      <c r="E4" s="28">
        <v>1956960</v>
      </c>
      <c r="F4" s="297">
        <v>2119800</v>
      </c>
      <c r="G4" s="284">
        <v>2300000</v>
      </c>
    </row>
    <row r="5" spans="1:7" ht="15">
      <c r="A5" s="24"/>
      <c r="B5" s="25"/>
      <c r="C5" s="26">
        <v>1112</v>
      </c>
      <c r="D5" s="27" t="s">
        <v>28</v>
      </c>
      <c r="E5" s="28">
        <v>306683</v>
      </c>
      <c r="F5" s="297">
        <v>43200</v>
      </c>
      <c r="G5" s="284">
        <v>350000</v>
      </c>
    </row>
    <row r="6" spans="1:7" ht="15">
      <c r="A6" s="24"/>
      <c r="B6" s="25"/>
      <c r="C6" s="26">
        <v>1113</v>
      </c>
      <c r="D6" s="27" t="s">
        <v>29</v>
      </c>
      <c r="E6" s="28">
        <v>215308</v>
      </c>
      <c r="F6" s="297">
        <v>206400</v>
      </c>
      <c r="G6" s="284">
        <v>230000</v>
      </c>
    </row>
    <row r="7" spans="1:7" ht="15">
      <c r="A7" s="24"/>
      <c r="B7" s="25"/>
      <c r="C7" s="26">
        <v>1121</v>
      </c>
      <c r="D7" s="27" t="s">
        <v>30</v>
      </c>
      <c r="E7" s="28">
        <v>2300000</v>
      </c>
      <c r="F7" s="297">
        <v>2115100</v>
      </c>
      <c r="G7" s="284">
        <v>2300000</v>
      </c>
    </row>
    <row r="8" spans="1:7" ht="15">
      <c r="A8" s="24"/>
      <c r="B8" s="25"/>
      <c r="C8" s="26">
        <v>1122</v>
      </c>
      <c r="D8" s="27" t="s">
        <v>31</v>
      </c>
      <c r="E8" s="28">
        <v>114190</v>
      </c>
      <c r="F8" s="297">
        <v>133200</v>
      </c>
      <c r="G8" s="284">
        <v>150000</v>
      </c>
    </row>
    <row r="9" spans="1:8" ht="15">
      <c r="A9" s="24"/>
      <c r="B9" s="25"/>
      <c r="C9" s="26">
        <v>1211</v>
      </c>
      <c r="D9" s="27" t="s">
        <v>32</v>
      </c>
      <c r="E9" s="28">
        <v>4570786</v>
      </c>
      <c r="F9" s="297">
        <v>4245200</v>
      </c>
      <c r="G9" s="284">
        <v>4800000</v>
      </c>
      <c r="H9" s="116"/>
    </row>
    <row r="10" spans="1:7" ht="15">
      <c r="A10" s="24"/>
      <c r="B10" s="25"/>
      <c r="C10" s="26">
        <v>1334</v>
      </c>
      <c r="D10" s="27" t="s">
        <v>33</v>
      </c>
      <c r="E10" s="28">
        <v>1342</v>
      </c>
      <c r="F10" s="297">
        <v>13200</v>
      </c>
      <c r="G10" s="284">
        <v>10000</v>
      </c>
    </row>
    <row r="11" spans="1:7" ht="15">
      <c r="A11" s="24"/>
      <c r="B11" s="25"/>
      <c r="C11" s="26">
        <v>1337</v>
      </c>
      <c r="D11" s="27" t="s">
        <v>34</v>
      </c>
      <c r="E11" s="28">
        <v>424698</v>
      </c>
      <c r="F11" s="297">
        <v>425700</v>
      </c>
      <c r="G11" s="284">
        <v>550000</v>
      </c>
    </row>
    <row r="12" spans="1:7" ht="15">
      <c r="A12" s="24"/>
      <c r="B12" s="25"/>
      <c r="C12" s="26">
        <v>1341</v>
      </c>
      <c r="D12" s="27" t="s">
        <v>35</v>
      </c>
      <c r="E12" s="28">
        <v>42150</v>
      </c>
      <c r="F12" s="297">
        <v>39400</v>
      </c>
      <c r="G12" s="284">
        <v>40000</v>
      </c>
    </row>
    <row r="13" spans="1:7" ht="15">
      <c r="A13" s="24"/>
      <c r="B13" s="25"/>
      <c r="C13" s="26">
        <v>1342</v>
      </c>
      <c r="D13" s="27" t="s">
        <v>36</v>
      </c>
      <c r="E13" s="28">
        <v>0</v>
      </c>
      <c r="F13" s="297">
        <v>0</v>
      </c>
      <c r="G13" s="284">
        <v>0</v>
      </c>
    </row>
    <row r="14" spans="1:7" ht="15">
      <c r="A14" s="24"/>
      <c r="B14" s="25"/>
      <c r="C14" s="26">
        <v>1343</v>
      </c>
      <c r="D14" s="27" t="s">
        <v>37</v>
      </c>
      <c r="E14" s="28">
        <v>5000</v>
      </c>
      <c r="F14" s="297">
        <v>5000</v>
      </c>
      <c r="G14" s="284">
        <v>5000</v>
      </c>
    </row>
    <row r="15" spans="1:7" ht="15">
      <c r="A15" s="24"/>
      <c r="B15" s="25"/>
      <c r="C15" s="26">
        <v>1344</v>
      </c>
      <c r="D15" s="27" t="s">
        <v>38</v>
      </c>
      <c r="E15" s="29">
        <v>0</v>
      </c>
      <c r="F15" s="298">
        <v>0</v>
      </c>
      <c r="G15" s="284">
        <v>0</v>
      </c>
    </row>
    <row r="16" spans="1:7" ht="15">
      <c r="A16" s="24"/>
      <c r="B16" s="25"/>
      <c r="C16" s="26">
        <v>1345</v>
      </c>
      <c r="D16" s="27" t="s">
        <v>39</v>
      </c>
      <c r="E16" s="28">
        <v>1754</v>
      </c>
      <c r="F16" s="297">
        <v>2138</v>
      </c>
      <c r="G16" s="284">
        <v>2000</v>
      </c>
    </row>
    <row r="17" spans="1:7" ht="15">
      <c r="A17" s="24"/>
      <c r="B17" s="25"/>
      <c r="C17" s="26">
        <v>1381</v>
      </c>
      <c r="D17" s="27" t="s">
        <v>453</v>
      </c>
      <c r="E17" s="28"/>
      <c r="F17" s="297">
        <v>32300</v>
      </c>
      <c r="G17" s="284">
        <v>32000</v>
      </c>
    </row>
    <row r="18" spans="1:7" ht="15">
      <c r="A18" s="24"/>
      <c r="B18" s="25"/>
      <c r="C18" s="26">
        <v>1382</v>
      </c>
      <c r="D18" s="27" t="s">
        <v>452</v>
      </c>
      <c r="E18" s="28">
        <v>46890.86</v>
      </c>
      <c r="F18" s="297">
        <v>15600</v>
      </c>
      <c r="G18" s="284">
        <v>15000</v>
      </c>
    </row>
    <row r="19" spans="1:7" ht="15">
      <c r="A19" s="24"/>
      <c r="B19" s="25"/>
      <c r="C19" s="26">
        <v>1361</v>
      </c>
      <c r="D19" s="27" t="s">
        <v>40</v>
      </c>
      <c r="E19" s="28">
        <v>3911</v>
      </c>
      <c r="F19" s="297">
        <v>5500</v>
      </c>
      <c r="G19" s="284">
        <v>3000</v>
      </c>
    </row>
    <row r="20" spans="1:7" ht="20.25" customHeight="1">
      <c r="A20" s="24"/>
      <c r="B20" s="25"/>
      <c r="C20" s="26">
        <v>1511</v>
      </c>
      <c r="D20" s="27" t="s">
        <v>41</v>
      </c>
      <c r="E20" s="28">
        <v>763738</v>
      </c>
      <c r="F20" s="297">
        <v>607900</v>
      </c>
      <c r="G20" s="284">
        <v>700000</v>
      </c>
    </row>
    <row r="21" spans="1:7" ht="22.5" customHeight="1" thickBot="1">
      <c r="A21" s="24"/>
      <c r="B21" s="30"/>
      <c r="C21" s="31"/>
      <c r="D21" s="32" t="s">
        <v>42</v>
      </c>
      <c r="E21" s="33">
        <f>SUM(E4:E20)</f>
        <v>10753410.86</v>
      </c>
      <c r="F21" s="33">
        <f>SUM(F4:F20)</f>
        <v>10009638</v>
      </c>
      <c r="G21" s="285">
        <f>SUM(G4:G20)</f>
        <v>11487000</v>
      </c>
    </row>
    <row r="22" spans="1:7" ht="21" customHeight="1" thickBot="1">
      <c r="A22" s="24"/>
      <c r="B22" s="34"/>
      <c r="C22" s="34"/>
      <c r="D22" s="35"/>
      <c r="E22" s="36"/>
      <c r="F22" s="299"/>
      <c r="G22" s="37"/>
    </row>
    <row r="23" spans="1:7" ht="21.75" customHeight="1">
      <c r="A23" s="24"/>
      <c r="B23" s="38"/>
      <c r="C23" s="39"/>
      <c r="D23" s="22" t="s">
        <v>43</v>
      </c>
      <c r="E23" s="40"/>
      <c r="F23" s="320"/>
      <c r="G23" s="286"/>
    </row>
    <row r="24" spans="1:7" ht="18" customHeight="1">
      <c r="A24" s="24"/>
      <c r="B24" s="25"/>
      <c r="C24" s="41">
        <v>4111</v>
      </c>
      <c r="D24" s="42" t="s">
        <v>44</v>
      </c>
      <c r="E24" s="28">
        <v>19933.65</v>
      </c>
      <c r="F24" s="297">
        <v>18500</v>
      </c>
      <c r="G24" s="459">
        <v>20000</v>
      </c>
    </row>
    <row r="25" spans="1:7" ht="30.75" customHeight="1">
      <c r="A25" s="24"/>
      <c r="B25" s="420"/>
      <c r="C25" s="421">
        <v>4112</v>
      </c>
      <c r="D25" s="43" t="s">
        <v>45</v>
      </c>
      <c r="E25" s="28"/>
      <c r="F25" s="297"/>
      <c r="G25" s="287"/>
    </row>
    <row r="26" spans="1:7" ht="18.75" customHeight="1">
      <c r="A26" s="24"/>
      <c r="B26" s="420"/>
      <c r="C26" s="421"/>
      <c r="D26" s="44" t="s">
        <v>46</v>
      </c>
      <c r="E26" s="45">
        <v>152800</v>
      </c>
      <c r="F26" s="298">
        <v>137000</v>
      </c>
      <c r="G26" s="287">
        <v>176700</v>
      </c>
    </row>
    <row r="27" spans="1:7" ht="20.25" customHeight="1">
      <c r="A27" s="24"/>
      <c r="B27" s="420"/>
      <c r="C27" s="421"/>
      <c r="D27" s="44" t="s">
        <v>47</v>
      </c>
      <c r="E27" s="45">
        <v>0</v>
      </c>
      <c r="F27" s="300"/>
      <c r="G27" s="287"/>
    </row>
    <row r="28" spans="1:7" ht="15">
      <c r="A28" s="24"/>
      <c r="B28" s="25"/>
      <c r="C28" s="26">
        <v>4116</v>
      </c>
      <c r="D28" s="27" t="s">
        <v>48</v>
      </c>
      <c r="E28" s="28"/>
      <c r="F28" s="297">
        <v>351700</v>
      </c>
      <c r="G28" s="459">
        <v>350000</v>
      </c>
    </row>
    <row r="29" spans="1:7" ht="15">
      <c r="A29" s="24"/>
      <c r="B29" s="25"/>
      <c r="C29" s="26">
        <v>4121</v>
      </c>
      <c r="D29" s="46" t="s">
        <v>49</v>
      </c>
      <c r="E29" s="28"/>
      <c r="F29" s="297"/>
      <c r="G29" s="287"/>
    </row>
    <row r="30" spans="1:7" ht="15">
      <c r="A30" s="24"/>
      <c r="B30" s="25"/>
      <c r="C30" s="421">
        <v>4122</v>
      </c>
      <c r="D30" s="422" t="s">
        <v>50</v>
      </c>
      <c r="E30" s="28">
        <v>9340</v>
      </c>
      <c r="F30" s="297">
        <v>10900</v>
      </c>
      <c r="G30" s="459">
        <v>10000</v>
      </c>
    </row>
    <row r="31" spans="1:7" ht="15">
      <c r="A31" s="24"/>
      <c r="B31" s="25"/>
      <c r="C31" s="421"/>
      <c r="D31" s="422"/>
      <c r="E31" s="28">
        <v>110000</v>
      </c>
      <c r="F31" s="297"/>
      <c r="G31" s="287"/>
    </row>
    <row r="32" spans="1:7" ht="15">
      <c r="A32" s="24"/>
      <c r="B32" s="25"/>
      <c r="C32" s="26">
        <v>4134</v>
      </c>
      <c r="D32" s="47" t="s">
        <v>51</v>
      </c>
      <c r="E32" s="28">
        <v>0</v>
      </c>
      <c r="F32" s="297"/>
      <c r="G32" s="287"/>
    </row>
    <row r="33" spans="1:7" ht="18.75" thickBot="1">
      <c r="A33" s="24"/>
      <c r="B33" s="48"/>
      <c r="C33" s="49"/>
      <c r="D33" s="32" t="s">
        <v>52</v>
      </c>
      <c r="E33" s="50">
        <f>SUM(E24:E32)</f>
        <v>292073.65</v>
      </c>
      <c r="F33" s="301">
        <f>SUM(F24:F32)</f>
        <v>518100</v>
      </c>
      <c r="G33" s="288">
        <f>SUM(G24:G32)</f>
        <v>556700</v>
      </c>
    </row>
    <row r="34" spans="1:7" ht="18.75" thickBot="1">
      <c r="A34" s="24"/>
      <c r="B34" s="51"/>
      <c r="C34" s="52"/>
      <c r="D34" s="53" t="s">
        <v>53</v>
      </c>
      <c r="E34" s="54">
        <f>E33+E21+2</f>
        <v>11045486.51</v>
      </c>
      <c r="F34" s="321">
        <f>F33+F21+2</f>
        <v>10527740</v>
      </c>
      <c r="G34" s="289">
        <f>SUM(G21+G33)</f>
        <v>12043700</v>
      </c>
    </row>
    <row r="35" spans="1:7" ht="16.5" thickBot="1">
      <c r="A35" s="24"/>
      <c r="B35" s="55"/>
      <c r="C35" s="55"/>
      <c r="D35" s="56"/>
      <c r="E35" s="57"/>
      <c r="F35" s="302"/>
      <c r="G35" s="58"/>
    </row>
    <row r="36" spans="1:7" ht="16.5" thickBot="1">
      <c r="A36" s="24"/>
      <c r="B36" s="59"/>
      <c r="C36" s="60"/>
      <c r="D36" s="61" t="s">
        <v>54</v>
      </c>
      <c r="E36" s="62"/>
      <c r="F36" s="313"/>
      <c r="G36" s="290"/>
    </row>
    <row r="37" spans="1:8" ht="15">
      <c r="A37" s="24"/>
      <c r="B37" s="63">
        <v>1032</v>
      </c>
      <c r="C37" s="64">
        <v>2111</v>
      </c>
      <c r="D37" s="65" t="s">
        <v>55</v>
      </c>
      <c r="E37" s="66">
        <v>458341</v>
      </c>
      <c r="F37" s="310">
        <v>536300</v>
      </c>
      <c r="G37" s="96">
        <v>570000</v>
      </c>
      <c r="H37" s="116"/>
    </row>
    <row r="38" spans="1:7" ht="15">
      <c r="A38" s="24"/>
      <c r="B38" s="424">
        <v>2310</v>
      </c>
      <c r="C38" s="67">
        <v>2111</v>
      </c>
      <c r="D38" s="68" t="s">
        <v>56</v>
      </c>
      <c r="E38" s="69">
        <v>674537.8</v>
      </c>
      <c r="F38" s="304">
        <v>487900</v>
      </c>
      <c r="G38" s="284">
        <v>600000</v>
      </c>
    </row>
    <row r="39" spans="1:7" ht="15">
      <c r="A39" s="24"/>
      <c r="B39" s="424"/>
      <c r="C39" s="67">
        <v>2324</v>
      </c>
      <c r="D39" s="68" t="s">
        <v>57</v>
      </c>
      <c r="E39" s="70">
        <v>116264</v>
      </c>
      <c r="F39" s="305">
        <v>75200</v>
      </c>
      <c r="G39" s="96">
        <v>100000</v>
      </c>
    </row>
    <row r="40" spans="1:8" ht="15">
      <c r="A40" s="24"/>
      <c r="B40" s="424"/>
      <c r="C40" s="71">
        <v>2324</v>
      </c>
      <c r="D40" s="68" t="s">
        <v>58</v>
      </c>
      <c r="E40" s="70"/>
      <c r="F40" s="305"/>
      <c r="G40" s="96"/>
      <c r="H40" s="116"/>
    </row>
    <row r="41" spans="1:7" ht="15">
      <c r="A41" s="24"/>
      <c r="B41" s="425">
        <v>2321</v>
      </c>
      <c r="C41" s="64">
        <v>2111</v>
      </c>
      <c r="D41" s="65" t="s">
        <v>59</v>
      </c>
      <c r="E41" s="66">
        <v>112250.8</v>
      </c>
      <c r="F41" s="303">
        <v>59200</v>
      </c>
      <c r="G41" s="96">
        <v>70000</v>
      </c>
    </row>
    <row r="42" spans="1:7" ht="15">
      <c r="A42" s="24"/>
      <c r="B42" s="425"/>
      <c r="C42" s="64">
        <v>2324</v>
      </c>
      <c r="D42" s="65" t="s">
        <v>60</v>
      </c>
      <c r="E42" s="66"/>
      <c r="F42" s="303">
        <v>37800</v>
      </c>
      <c r="G42" s="96"/>
    </row>
    <row r="43" spans="1:7" ht="15">
      <c r="A43" s="24"/>
      <c r="B43" s="424">
        <v>3113</v>
      </c>
      <c r="C43" s="71">
        <v>2132</v>
      </c>
      <c r="D43" s="27"/>
      <c r="E43" s="28">
        <v>0</v>
      </c>
      <c r="F43" s="297"/>
      <c r="G43" s="96"/>
    </row>
    <row r="44" spans="1:7" ht="15">
      <c r="A44" s="24"/>
      <c r="B44" s="424"/>
      <c r="C44" s="71">
        <v>2324</v>
      </c>
      <c r="D44" s="27" t="s">
        <v>61</v>
      </c>
      <c r="E44" s="28">
        <v>152475</v>
      </c>
      <c r="F44" s="297">
        <v>68000</v>
      </c>
      <c r="G44" s="96">
        <v>0</v>
      </c>
    </row>
    <row r="45" spans="1:7" ht="15">
      <c r="A45" s="24"/>
      <c r="B45" s="314">
        <v>3399</v>
      </c>
      <c r="C45" s="315">
        <v>2111</v>
      </c>
      <c r="D45" s="316" t="s">
        <v>454</v>
      </c>
      <c r="E45" s="317"/>
      <c r="F45" s="318">
        <v>5200</v>
      </c>
      <c r="G45" s="319">
        <v>0</v>
      </c>
    </row>
    <row r="46" spans="1:7" ht="15">
      <c r="A46" s="24"/>
      <c r="B46" s="275"/>
      <c r="C46" s="276"/>
      <c r="D46" s="27"/>
      <c r="E46" s="28"/>
      <c r="F46" s="297"/>
      <c r="G46" s="96"/>
    </row>
    <row r="47" spans="1:7" ht="15">
      <c r="A47" s="24"/>
      <c r="B47" s="425">
        <v>3612</v>
      </c>
      <c r="C47" s="72">
        <v>2111</v>
      </c>
      <c r="D47" s="73" t="s">
        <v>62</v>
      </c>
      <c r="E47" s="66">
        <v>16082</v>
      </c>
      <c r="F47" s="303">
        <v>16400</v>
      </c>
      <c r="G47" s="96">
        <v>15000</v>
      </c>
    </row>
    <row r="48" spans="1:7" ht="30">
      <c r="A48" s="24"/>
      <c r="B48" s="425"/>
      <c r="C48" s="64">
        <v>2132</v>
      </c>
      <c r="D48" s="73" t="s">
        <v>63</v>
      </c>
      <c r="E48" s="66">
        <v>301818</v>
      </c>
      <c r="F48" s="303">
        <v>147300</v>
      </c>
      <c r="G48" s="96">
        <v>300000</v>
      </c>
    </row>
    <row r="49" spans="1:16" ht="15">
      <c r="A49" s="24"/>
      <c r="B49" s="425"/>
      <c r="C49" s="64">
        <v>2324</v>
      </c>
      <c r="D49" s="73" t="s">
        <v>64</v>
      </c>
      <c r="E49" s="66">
        <v>14441</v>
      </c>
      <c r="F49" s="303">
        <v>3500</v>
      </c>
      <c r="G49" s="96">
        <v>3000</v>
      </c>
      <c r="P49">
        <v>5</v>
      </c>
    </row>
    <row r="50" spans="1:7" ht="15">
      <c r="A50" s="24"/>
      <c r="B50" s="424">
        <v>3613</v>
      </c>
      <c r="C50" s="71">
        <v>2111</v>
      </c>
      <c r="D50" s="74" t="s">
        <v>65</v>
      </c>
      <c r="E50" s="28">
        <v>152033</v>
      </c>
      <c r="F50" s="297">
        <v>231800</v>
      </c>
      <c r="G50" s="96">
        <v>120000</v>
      </c>
    </row>
    <row r="51" spans="1:7" ht="30">
      <c r="A51" s="24"/>
      <c r="B51" s="424"/>
      <c r="C51" s="71">
        <v>2132</v>
      </c>
      <c r="D51" s="75" t="s">
        <v>66</v>
      </c>
      <c r="E51" s="28">
        <v>196274</v>
      </c>
      <c r="F51" s="297">
        <v>162400</v>
      </c>
      <c r="G51" s="96">
        <v>220000</v>
      </c>
    </row>
    <row r="52" spans="1:7" ht="15">
      <c r="A52" s="24"/>
      <c r="B52" s="425">
        <v>3632</v>
      </c>
      <c r="C52" s="64">
        <v>2111</v>
      </c>
      <c r="D52" s="65" t="s">
        <v>67</v>
      </c>
      <c r="E52" s="76">
        <v>2172</v>
      </c>
      <c r="F52" s="306">
        <v>2600</v>
      </c>
      <c r="G52" s="96"/>
    </row>
    <row r="53" spans="1:7" ht="15">
      <c r="A53" s="24"/>
      <c r="B53" s="425"/>
      <c r="C53" s="64">
        <v>2131</v>
      </c>
      <c r="D53" s="65" t="s">
        <v>68</v>
      </c>
      <c r="E53" s="76">
        <v>626</v>
      </c>
      <c r="F53" s="306">
        <v>11100</v>
      </c>
      <c r="G53" s="96">
        <v>3000</v>
      </c>
    </row>
    <row r="54" spans="1:7" ht="15">
      <c r="A54" s="24"/>
      <c r="B54" s="25">
        <v>3725</v>
      </c>
      <c r="C54" s="26">
        <v>2111</v>
      </c>
      <c r="D54" s="27" t="s">
        <v>69</v>
      </c>
      <c r="E54" s="28">
        <v>194389.7</v>
      </c>
      <c r="F54" s="297">
        <v>105600</v>
      </c>
      <c r="G54" s="96">
        <v>145000</v>
      </c>
    </row>
    <row r="55" spans="1:7" ht="15">
      <c r="A55" s="24"/>
      <c r="B55" s="77">
        <v>3726</v>
      </c>
      <c r="C55" s="97">
        <v>2111</v>
      </c>
      <c r="D55" s="98" t="s">
        <v>70</v>
      </c>
      <c r="E55" s="99">
        <v>2296</v>
      </c>
      <c r="F55" s="307">
        <v>6500</v>
      </c>
      <c r="G55" s="96">
        <v>0</v>
      </c>
    </row>
    <row r="56" spans="1:7" ht="15">
      <c r="A56" s="24"/>
      <c r="B56" s="103"/>
      <c r="C56" s="104"/>
      <c r="D56" s="105"/>
      <c r="E56" s="281"/>
      <c r="F56" s="308"/>
      <c r="G56" s="95"/>
    </row>
    <row r="57" spans="1:7" ht="15">
      <c r="A57" s="24"/>
      <c r="B57" s="106">
        <v>5512</v>
      </c>
      <c r="C57" s="107"/>
      <c r="D57" s="108" t="s">
        <v>352</v>
      </c>
      <c r="E57" s="282">
        <v>13312</v>
      </c>
      <c r="F57" s="309">
        <v>0</v>
      </c>
      <c r="G57" s="96">
        <v>0</v>
      </c>
    </row>
    <row r="58" spans="1:7" ht="30">
      <c r="A58" s="24"/>
      <c r="B58" s="423">
        <v>6171</v>
      </c>
      <c r="C58" s="100">
        <v>2111</v>
      </c>
      <c r="D58" s="101" t="s">
        <v>71</v>
      </c>
      <c r="E58" s="102">
        <v>731</v>
      </c>
      <c r="F58" s="310">
        <v>500</v>
      </c>
      <c r="G58" s="96">
        <v>0</v>
      </c>
    </row>
    <row r="59" spans="1:7" ht="15">
      <c r="A59" s="24"/>
      <c r="B59" s="423"/>
      <c r="C59" s="64">
        <v>2119</v>
      </c>
      <c r="D59" s="65" t="s">
        <v>72</v>
      </c>
      <c r="E59" s="66">
        <v>1180</v>
      </c>
      <c r="F59" s="303">
        <v>0</v>
      </c>
      <c r="G59" s="96">
        <v>0</v>
      </c>
    </row>
    <row r="60" spans="1:7" ht="30">
      <c r="A60" s="24"/>
      <c r="B60" s="423"/>
      <c r="C60" s="64">
        <v>2131</v>
      </c>
      <c r="D60" s="78" t="s">
        <v>73</v>
      </c>
      <c r="E60" s="76">
        <v>119843</v>
      </c>
      <c r="F60" s="306">
        <v>108200</v>
      </c>
      <c r="G60" s="96">
        <v>180000</v>
      </c>
    </row>
    <row r="61" spans="1:7" ht="15">
      <c r="A61" s="24"/>
      <c r="B61" s="423"/>
      <c r="C61" s="64">
        <v>2212</v>
      </c>
      <c r="D61" s="79" t="s">
        <v>74</v>
      </c>
      <c r="E61" s="76">
        <v>257400</v>
      </c>
      <c r="F61" s="306">
        <v>180100</v>
      </c>
      <c r="G61" s="96">
        <v>150000</v>
      </c>
    </row>
    <row r="62" spans="1:7" ht="15">
      <c r="A62" s="24"/>
      <c r="B62" s="423"/>
      <c r="C62" s="64">
        <v>2321</v>
      </c>
      <c r="D62" s="79" t="s">
        <v>75</v>
      </c>
      <c r="E62" s="76">
        <v>13160</v>
      </c>
      <c r="F62" s="306">
        <v>0</v>
      </c>
      <c r="G62" s="96">
        <v>15000</v>
      </c>
    </row>
    <row r="63" spans="1:7" ht="15">
      <c r="A63" s="24"/>
      <c r="B63" s="423"/>
      <c r="C63" s="64">
        <v>2322</v>
      </c>
      <c r="D63" s="79" t="s">
        <v>76</v>
      </c>
      <c r="E63" s="76">
        <v>0</v>
      </c>
      <c r="F63" s="306"/>
      <c r="G63" s="96"/>
    </row>
    <row r="64" spans="1:7" ht="15">
      <c r="A64" s="24"/>
      <c r="B64" s="423"/>
      <c r="C64" s="64">
        <v>2324</v>
      </c>
      <c r="D64" s="79" t="s">
        <v>77</v>
      </c>
      <c r="E64" s="66">
        <v>37369</v>
      </c>
      <c r="F64" s="303">
        <v>39400</v>
      </c>
      <c r="G64" s="96">
        <v>40000</v>
      </c>
    </row>
    <row r="65" spans="1:7" ht="15">
      <c r="A65" s="24"/>
      <c r="B65" s="423"/>
      <c r="C65" s="64">
        <v>3111</v>
      </c>
      <c r="D65" s="65" t="s">
        <v>78</v>
      </c>
      <c r="E65" s="66">
        <v>156576</v>
      </c>
      <c r="F65" s="303">
        <v>50000</v>
      </c>
      <c r="G65" s="96">
        <v>50000</v>
      </c>
    </row>
    <row r="66" spans="1:7" ht="15">
      <c r="A66" s="24"/>
      <c r="B66" s="423"/>
      <c r="C66" s="64">
        <v>3202</v>
      </c>
      <c r="D66" s="65" t="s">
        <v>79</v>
      </c>
      <c r="E66" s="66">
        <v>0</v>
      </c>
      <c r="F66" s="303">
        <v>0</v>
      </c>
      <c r="G66" s="96">
        <v>0</v>
      </c>
    </row>
    <row r="67" spans="1:7" ht="15">
      <c r="A67" s="24"/>
      <c r="B67" s="424">
        <v>6310</v>
      </c>
      <c r="C67" s="26">
        <v>2141</v>
      </c>
      <c r="D67" s="27" t="s">
        <v>80</v>
      </c>
      <c r="E67" s="28">
        <v>319.76</v>
      </c>
      <c r="F67" s="297">
        <v>300</v>
      </c>
      <c r="G67" s="96">
        <v>300</v>
      </c>
    </row>
    <row r="68" spans="1:7" ht="15">
      <c r="A68" s="24"/>
      <c r="B68" s="424"/>
      <c r="C68" s="80">
        <v>6330</v>
      </c>
      <c r="D68" s="68" t="s">
        <v>353</v>
      </c>
      <c r="E68" s="81">
        <v>290000</v>
      </c>
      <c r="F68" s="311"/>
      <c r="G68" s="96"/>
    </row>
    <row r="69" spans="1:7" ht="18.75" thickBot="1">
      <c r="A69" s="82"/>
      <c r="B69" s="83"/>
      <c r="C69" s="84"/>
      <c r="D69" s="85" t="s">
        <v>81</v>
      </c>
      <c r="E69" s="86">
        <f>SUM(E37:E68)</f>
        <v>3283891.06</v>
      </c>
      <c r="F69" s="86">
        <f>SUM(F37:F68)</f>
        <v>2335300</v>
      </c>
      <c r="G69" s="291">
        <f>SUM(G37:G68)</f>
        <v>2581300</v>
      </c>
    </row>
    <row r="70" spans="1:7" ht="18.75" thickBot="1">
      <c r="A70" s="82"/>
      <c r="B70" s="87"/>
      <c r="C70" s="88">
        <v>8115</v>
      </c>
      <c r="D70" s="89" t="s">
        <v>82</v>
      </c>
      <c r="E70" s="90"/>
      <c r="F70" s="312"/>
      <c r="G70" s="292"/>
    </row>
    <row r="71" spans="1:7" ht="18.75" thickBot="1">
      <c r="A71" s="82"/>
      <c r="B71" s="87"/>
      <c r="C71" s="88"/>
      <c r="D71" s="89" t="s">
        <v>455</v>
      </c>
      <c r="E71" s="90"/>
      <c r="F71" s="312"/>
      <c r="G71" s="293">
        <v>4500000</v>
      </c>
    </row>
    <row r="72" spans="1:7" ht="18.75" thickBot="1">
      <c r="A72" s="82"/>
      <c r="B72" s="91"/>
      <c r="C72" s="92"/>
      <c r="D72" s="93" t="s">
        <v>83</v>
      </c>
      <c r="E72" s="94">
        <f>E34+E69</f>
        <v>14329377.57</v>
      </c>
      <c r="F72" s="94">
        <f>F34+F69</f>
        <v>12863040</v>
      </c>
      <c r="G72" s="293">
        <f>G34+G69+G70</f>
        <v>14625000</v>
      </c>
    </row>
    <row r="74" spans="5:6" ht="14.25">
      <c r="E74" s="117"/>
      <c r="F74" s="117"/>
    </row>
  </sheetData>
  <sheetProtection/>
  <mergeCells count="14">
    <mergeCell ref="B58:B66"/>
    <mergeCell ref="B67:B68"/>
    <mergeCell ref="B38:B40"/>
    <mergeCell ref="B41:B42"/>
    <mergeCell ref="B43:B44"/>
    <mergeCell ref="B47:B49"/>
    <mergeCell ref="B50:B51"/>
    <mergeCell ref="B52:B53"/>
    <mergeCell ref="B1:E1"/>
    <mergeCell ref="G1:G2"/>
    <mergeCell ref="B25:B27"/>
    <mergeCell ref="C25:C27"/>
    <mergeCell ref="C30:C31"/>
    <mergeCell ref="D30:D31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zoomScale="80" zoomScaleNormal="80" zoomScalePageLayoutView="0" workbookViewId="0" topLeftCell="A1">
      <selection activeCell="F100" sqref="F100"/>
    </sheetView>
  </sheetViews>
  <sheetFormatPr defaultColWidth="9.00390625" defaultRowHeight="14.25"/>
  <cols>
    <col min="1" max="1" width="20.125" style="125" customWidth="1"/>
    <col min="2" max="2" width="9.00390625" style="125" customWidth="1"/>
    <col min="3" max="3" width="60.50390625" style="125" customWidth="1"/>
    <col min="4" max="5" width="21.375" style="125" customWidth="1"/>
    <col min="6" max="6" width="23.875" style="125" customWidth="1"/>
    <col min="7" max="16" width="9.00390625" style="125" customWidth="1"/>
    <col min="17" max="17" width="26.625" style="125" customWidth="1"/>
    <col min="18" max="18" width="14.375" style="125" customWidth="1"/>
    <col min="19" max="16384" width="9.00390625" style="125" customWidth="1"/>
  </cols>
  <sheetData>
    <row r="1" spans="1:6" ht="41.25" customHeight="1" thickBot="1">
      <c r="A1" s="416" t="s">
        <v>84</v>
      </c>
      <c r="B1" s="416"/>
      <c r="C1" s="416"/>
      <c r="D1" s="417"/>
      <c r="E1" s="432" t="s">
        <v>451</v>
      </c>
      <c r="F1" s="426" t="s">
        <v>368</v>
      </c>
    </row>
    <row r="2" spans="1:6" ht="24" thickBot="1">
      <c r="A2" s="126" t="s">
        <v>23</v>
      </c>
      <c r="B2" s="126" t="s">
        <v>24</v>
      </c>
      <c r="C2" s="127" t="s">
        <v>85</v>
      </c>
      <c r="D2" s="128" t="s">
        <v>367</v>
      </c>
      <c r="E2" s="433"/>
      <c r="F2" s="427"/>
    </row>
    <row r="3" spans="1:6" ht="15.75">
      <c r="A3" s="428" t="s">
        <v>86</v>
      </c>
      <c r="B3" s="428"/>
      <c r="C3" s="428"/>
      <c r="D3" s="129"/>
      <c r="E3" s="412"/>
      <c r="F3" s="323"/>
    </row>
    <row r="4" spans="1:6" ht="15.75" thickBot="1">
      <c r="A4" s="429">
        <v>1032</v>
      </c>
      <c r="B4" s="130">
        <v>5021</v>
      </c>
      <c r="C4" s="131" t="s">
        <v>87</v>
      </c>
      <c r="D4" s="132">
        <v>9870</v>
      </c>
      <c r="E4" s="340">
        <v>0</v>
      </c>
      <c r="F4" s="324">
        <v>18000</v>
      </c>
    </row>
    <row r="5" spans="1:6" ht="15.75" thickBot="1">
      <c r="A5" s="429"/>
      <c r="B5" s="130">
        <v>5139</v>
      </c>
      <c r="C5" s="131" t="s">
        <v>88</v>
      </c>
      <c r="D5" s="132">
        <v>28405</v>
      </c>
      <c r="E5" s="340">
        <v>28400</v>
      </c>
      <c r="F5" s="324">
        <v>40000</v>
      </c>
    </row>
    <row r="6" spans="1:6" ht="15.75" thickBot="1">
      <c r="A6" s="429"/>
      <c r="B6" s="430">
        <v>5169</v>
      </c>
      <c r="C6" s="131" t="s">
        <v>89</v>
      </c>
      <c r="D6" s="132">
        <v>12028</v>
      </c>
      <c r="E6" s="340">
        <v>0</v>
      </c>
      <c r="F6" s="324">
        <v>12000</v>
      </c>
    </row>
    <row r="7" spans="1:6" ht="15.75" thickBot="1">
      <c r="A7" s="429"/>
      <c r="B7" s="430"/>
      <c r="C7" s="131" t="s">
        <v>90</v>
      </c>
      <c r="D7" s="132">
        <f>190246.5-12028</f>
        <v>178218.5</v>
      </c>
      <c r="E7" s="340">
        <v>168600</v>
      </c>
      <c r="F7" s="324">
        <v>240000</v>
      </c>
    </row>
    <row r="8" spans="1:6" ht="16.5" thickBot="1">
      <c r="A8" s="429"/>
      <c r="B8" s="130"/>
      <c r="C8" s="133" t="s">
        <v>53</v>
      </c>
      <c r="D8" s="134">
        <f>SUM(D4:D7)</f>
        <v>228521.5</v>
      </c>
      <c r="E8" s="341">
        <f>SUM(E4:E7)</f>
        <v>197000</v>
      </c>
      <c r="F8" s="325">
        <f>SUM(F4:F7)</f>
        <v>310000</v>
      </c>
    </row>
    <row r="9" spans="1:6" ht="15.75" thickBot="1">
      <c r="A9" s="429"/>
      <c r="B9" s="135"/>
      <c r="C9" s="136"/>
      <c r="D9" s="137"/>
      <c r="E9" s="413"/>
      <c r="F9" s="326"/>
    </row>
    <row r="10" spans="1:6" ht="15.75">
      <c r="A10" s="431" t="s">
        <v>91</v>
      </c>
      <c r="B10" s="431"/>
      <c r="C10" s="431"/>
      <c r="D10" s="138"/>
      <c r="E10" s="411"/>
      <c r="F10" s="327"/>
    </row>
    <row r="11" spans="1:6" ht="15.75">
      <c r="A11" s="139"/>
      <c r="B11" s="390">
        <v>5021</v>
      </c>
      <c r="C11" s="140" t="s">
        <v>456</v>
      </c>
      <c r="D11" s="141">
        <v>11600</v>
      </c>
      <c r="E11" s="344">
        <v>20100</v>
      </c>
      <c r="F11" s="323">
        <v>20000</v>
      </c>
    </row>
    <row r="12" spans="1:6" ht="15.75">
      <c r="A12" s="391"/>
      <c r="B12" s="390">
        <v>5137</v>
      </c>
      <c r="C12" s="140" t="s">
        <v>118</v>
      </c>
      <c r="D12" s="141"/>
      <c r="E12" s="344">
        <v>6300</v>
      </c>
      <c r="F12" s="323">
        <v>0</v>
      </c>
    </row>
    <row r="13" spans="1:6" ht="15.75" thickBot="1">
      <c r="A13" s="434">
        <v>2212</v>
      </c>
      <c r="B13" s="142">
        <v>5139</v>
      </c>
      <c r="C13" s="143" t="s">
        <v>92</v>
      </c>
      <c r="D13" s="144">
        <f>20631+5856.24</f>
        <v>26487.239999999998</v>
      </c>
      <c r="E13" s="345">
        <v>44900</v>
      </c>
      <c r="F13" s="324">
        <v>5000</v>
      </c>
    </row>
    <row r="14" spans="1:6" ht="15.75" thickBot="1">
      <c r="A14" s="434"/>
      <c r="B14" s="142">
        <v>5169</v>
      </c>
      <c r="C14" s="143" t="s">
        <v>93</v>
      </c>
      <c r="D14" s="144">
        <v>44833</v>
      </c>
      <c r="E14" s="345">
        <v>85400</v>
      </c>
      <c r="F14" s="324">
        <v>65000</v>
      </c>
    </row>
    <row r="15" spans="1:6" ht="15.75" thickBot="1">
      <c r="A15" s="434"/>
      <c r="B15" s="142">
        <v>5171</v>
      </c>
      <c r="C15" s="143" t="s">
        <v>94</v>
      </c>
      <c r="D15" s="144">
        <v>780421</v>
      </c>
      <c r="E15" s="345">
        <v>1280600</v>
      </c>
      <c r="F15" s="324">
        <f>100000+130000+50000+750000+200000+350000</f>
        <v>1580000</v>
      </c>
    </row>
    <row r="16" spans="1:6" ht="15.75" thickBot="1">
      <c r="A16" s="434"/>
      <c r="B16" s="142">
        <v>6121</v>
      </c>
      <c r="C16" s="143" t="s">
        <v>107</v>
      </c>
      <c r="D16" s="144">
        <v>213491</v>
      </c>
      <c r="E16" s="345">
        <v>0</v>
      </c>
      <c r="F16" s="324">
        <v>150000</v>
      </c>
    </row>
    <row r="17" spans="1:6" ht="16.5" thickBot="1">
      <c r="A17" s="434"/>
      <c r="B17" s="142"/>
      <c r="C17" s="145" t="s">
        <v>53</v>
      </c>
      <c r="D17" s="146">
        <f>SUM(D11:D16)</f>
        <v>1076832.24</v>
      </c>
      <c r="E17" s="146">
        <f>SUM(E11:E16)</f>
        <v>1437300</v>
      </c>
      <c r="F17" s="325">
        <f>SUM(F11:F16)</f>
        <v>1820000</v>
      </c>
    </row>
    <row r="18" spans="1:6" ht="15.75" thickBot="1">
      <c r="A18" s="434"/>
      <c r="B18" s="147"/>
      <c r="C18" s="148"/>
      <c r="D18" s="149"/>
      <c r="E18" s="347"/>
      <c r="F18" s="326"/>
    </row>
    <row r="19" spans="1:6" ht="15.75">
      <c r="A19" s="150" t="s">
        <v>95</v>
      </c>
      <c r="B19" s="151"/>
      <c r="C19" s="151"/>
      <c r="D19" s="152"/>
      <c r="E19" s="348"/>
      <c r="F19" s="327"/>
    </row>
    <row r="20" spans="1:6" ht="15.75" thickBot="1">
      <c r="A20" s="429">
        <v>2221</v>
      </c>
      <c r="B20" s="130">
        <v>5193</v>
      </c>
      <c r="C20" s="131" t="s">
        <v>96</v>
      </c>
      <c r="D20" s="132">
        <v>75615.58</v>
      </c>
      <c r="E20" s="340">
        <v>0</v>
      </c>
      <c r="F20" s="324">
        <v>80000</v>
      </c>
    </row>
    <row r="21" spans="1:6" ht="16.5" thickBot="1">
      <c r="A21" s="429"/>
      <c r="B21" s="130"/>
      <c r="C21" s="153" t="s">
        <v>53</v>
      </c>
      <c r="D21" s="134">
        <f>SUM(D20)</f>
        <v>75615.58</v>
      </c>
      <c r="E21" s="341">
        <v>0</v>
      </c>
      <c r="F21" s="325">
        <f>SUM(F20)</f>
        <v>80000</v>
      </c>
    </row>
    <row r="22" spans="1:6" ht="15.75" thickBot="1">
      <c r="A22" s="429"/>
      <c r="B22" s="135"/>
      <c r="C22" s="136"/>
      <c r="D22" s="137"/>
      <c r="E22" s="342"/>
      <c r="F22" s="326"/>
    </row>
    <row r="23" spans="1:6" ht="15.75">
      <c r="A23" s="431" t="s">
        <v>97</v>
      </c>
      <c r="B23" s="431"/>
      <c r="C23" s="431"/>
      <c r="D23" s="138"/>
      <c r="E23" s="343"/>
      <c r="F23" s="327"/>
    </row>
    <row r="24" spans="1:6" ht="15.75" thickBot="1">
      <c r="A24" s="435">
        <v>2310</v>
      </c>
      <c r="B24" s="142">
        <v>5021</v>
      </c>
      <c r="C24" s="143" t="s">
        <v>98</v>
      </c>
      <c r="D24" s="144">
        <v>8774</v>
      </c>
      <c r="E24" s="345">
        <v>3100</v>
      </c>
      <c r="F24" s="324">
        <v>8000</v>
      </c>
    </row>
    <row r="25" spans="1:6" ht="15.75" thickBot="1">
      <c r="A25" s="435"/>
      <c r="B25" s="142">
        <v>5137</v>
      </c>
      <c r="C25" s="143" t="s">
        <v>99</v>
      </c>
      <c r="D25" s="144">
        <v>3630</v>
      </c>
      <c r="E25" s="345">
        <v>7300</v>
      </c>
      <c r="F25" s="324">
        <v>4000</v>
      </c>
    </row>
    <row r="26" spans="1:6" ht="15.75" thickBot="1">
      <c r="A26" s="435"/>
      <c r="B26" s="142">
        <v>5139</v>
      </c>
      <c r="C26" s="143" t="s">
        <v>100</v>
      </c>
      <c r="D26" s="144">
        <v>21019.76</v>
      </c>
      <c r="E26" s="345">
        <v>11200</v>
      </c>
      <c r="F26" s="324">
        <v>21000</v>
      </c>
    </row>
    <row r="27" spans="1:6" ht="15.75" thickBot="1">
      <c r="A27" s="435"/>
      <c r="B27" s="142">
        <v>5154</v>
      </c>
      <c r="C27" s="154" t="s">
        <v>101</v>
      </c>
      <c r="D27" s="144">
        <v>287149</v>
      </c>
      <c r="E27" s="345">
        <v>287000</v>
      </c>
      <c r="F27" s="324">
        <v>280000</v>
      </c>
    </row>
    <row r="28" spans="1:6" ht="15.75" thickBot="1">
      <c r="A28" s="435"/>
      <c r="B28" s="142">
        <v>5169</v>
      </c>
      <c r="C28" s="154" t="s">
        <v>102</v>
      </c>
      <c r="D28" s="144">
        <v>185903.37</v>
      </c>
      <c r="E28" s="345">
        <v>114200</v>
      </c>
      <c r="F28" s="324">
        <v>190000</v>
      </c>
    </row>
    <row r="29" spans="1:6" ht="15.75" thickBot="1">
      <c r="A29" s="435"/>
      <c r="B29" s="436">
        <v>5171</v>
      </c>
      <c r="C29" s="143" t="s">
        <v>103</v>
      </c>
      <c r="D29" s="144">
        <v>150924</v>
      </c>
      <c r="E29" s="345">
        <v>150600</v>
      </c>
      <c r="F29" s="324">
        <v>400000</v>
      </c>
    </row>
    <row r="30" spans="1:6" ht="15.75" thickBot="1">
      <c r="A30" s="435"/>
      <c r="B30" s="436"/>
      <c r="C30" s="155" t="s">
        <v>104</v>
      </c>
      <c r="D30" s="156"/>
      <c r="E30" s="349"/>
      <c r="F30" s="324"/>
    </row>
    <row r="31" spans="1:6" ht="15.75" thickBot="1">
      <c r="A31" s="435"/>
      <c r="B31" s="142">
        <v>6119</v>
      </c>
      <c r="C31" s="143" t="s">
        <v>105</v>
      </c>
      <c r="D31" s="144"/>
      <c r="E31" s="345"/>
      <c r="F31" s="324"/>
    </row>
    <row r="32" spans="1:6" ht="15.75" thickBot="1">
      <c r="A32" s="435"/>
      <c r="B32" s="142">
        <v>5362</v>
      </c>
      <c r="C32" s="143" t="s">
        <v>106</v>
      </c>
      <c r="D32" s="144">
        <v>167960</v>
      </c>
      <c r="E32" s="345">
        <v>168000</v>
      </c>
      <c r="F32" s="324">
        <v>170000</v>
      </c>
    </row>
    <row r="33" spans="1:6" ht="15.75" thickBot="1">
      <c r="A33" s="435"/>
      <c r="B33" s="142">
        <v>6121</v>
      </c>
      <c r="C33" s="143" t="s">
        <v>107</v>
      </c>
      <c r="D33" s="144">
        <v>317581</v>
      </c>
      <c r="E33" s="345">
        <v>0</v>
      </c>
      <c r="F33" s="324">
        <f>900000+150000+100000+600000+50000</f>
        <v>1800000</v>
      </c>
    </row>
    <row r="34" spans="1:6" ht="16.5" thickBot="1">
      <c r="A34" s="435"/>
      <c r="B34" s="142"/>
      <c r="C34" s="145" t="s">
        <v>53</v>
      </c>
      <c r="D34" s="146">
        <f>SUM(D24:D33)</f>
        <v>1142941.13</v>
      </c>
      <c r="E34" s="146">
        <f>SUM(E24:E33)</f>
        <v>741400</v>
      </c>
      <c r="F34" s="325">
        <f>SUM(F24:F33)</f>
        <v>2873000</v>
      </c>
    </row>
    <row r="35" spans="1:6" ht="15.75" thickBot="1">
      <c r="A35" s="435"/>
      <c r="B35" s="147"/>
      <c r="C35" s="148"/>
      <c r="D35" s="149"/>
      <c r="E35" s="347"/>
      <c r="F35" s="326"/>
    </row>
    <row r="36" spans="1:6" ht="15.75">
      <c r="A36" s="437" t="s">
        <v>108</v>
      </c>
      <c r="B36" s="437"/>
      <c r="C36" s="437"/>
      <c r="D36" s="157"/>
      <c r="E36" s="350"/>
      <c r="F36" s="327"/>
    </row>
    <row r="37" spans="1:6" ht="15.75">
      <c r="A37" s="158"/>
      <c r="B37" s="130">
        <v>5139</v>
      </c>
      <c r="C37" s="131" t="s">
        <v>109</v>
      </c>
      <c r="D37" s="132">
        <v>0</v>
      </c>
      <c r="E37" s="340">
        <v>700</v>
      </c>
      <c r="F37" s="324">
        <v>0</v>
      </c>
    </row>
    <row r="38" spans="1:6" ht="15.75" thickBot="1">
      <c r="A38" s="429">
        <v>2321</v>
      </c>
      <c r="B38" s="130">
        <v>5169</v>
      </c>
      <c r="C38" s="131" t="s">
        <v>110</v>
      </c>
      <c r="D38" s="132">
        <v>29126</v>
      </c>
      <c r="E38" s="340">
        <v>22500</v>
      </c>
      <c r="F38" s="324">
        <v>30000</v>
      </c>
    </row>
    <row r="39" spans="1:6" ht="15.75" thickBot="1">
      <c r="A39" s="429"/>
      <c r="B39" s="130">
        <v>5171</v>
      </c>
      <c r="C39" s="131" t="s">
        <v>111</v>
      </c>
      <c r="D39" s="132">
        <v>17545</v>
      </c>
      <c r="E39" s="340">
        <v>409800</v>
      </c>
      <c r="F39" s="324">
        <f>250000+550000-120000+150000</f>
        <v>830000</v>
      </c>
    </row>
    <row r="40" spans="1:6" ht="15.75" thickBot="1">
      <c r="A40" s="429"/>
      <c r="B40" s="130">
        <v>6121</v>
      </c>
      <c r="C40" s="159" t="s">
        <v>112</v>
      </c>
      <c r="D40" s="132">
        <v>0</v>
      </c>
      <c r="E40" s="340">
        <v>0</v>
      </c>
      <c r="F40" s="324">
        <v>4500000</v>
      </c>
    </row>
    <row r="41" spans="1:6" ht="16.5" thickBot="1">
      <c r="A41" s="429"/>
      <c r="B41" s="130"/>
      <c r="C41" s="133" t="s">
        <v>53</v>
      </c>
      <c r="D41" s="134">
        <f>SUM(D37:D40)</f>
        <v>46671</v>
      </c>
      <c r="E41" s="134">
        <f>SUM(E37:E40)</f>
        <v>433000</v>
      </c>
      <c r="F41" s="325">
        <f>SUM(F37:F40)</f>
        <v>5360000</v>
      </c>
    </row>
    <row r="42" spans="1:6" ht="15.75" thickBot="1">
      <c r="A42" s="429"/>
      <c r="B42" s="135"/>
      <c r="C42" s="136"/>
      <c r="D42" s="137"/>
      <c r="E42" s="342"/>
      <c r="F42" s="326"/>
    </row>
    <row r="43" spans="1:6" ht="15.75">
      <c r="A43" s="160" t="s">
        <v>113</v>
      </c>
      <c r="B43" s="161"/>
      <c r="C43" s="162" t="s">
        <v>114</v>
      </c>
      <c r="D43" s="163"/>
      <c r="E43" s="351"/>
      <c r="F43" s="327"/>
    </row>
    <row r="44" spans="1:6" ht="15">
      <c r="A44" s="438">
        <v>3112</v>
      </c>
      <c r="B44" s="142">
        <v>5169</v>
      </c>
      <c r="C44" s="164" t="s">
        <v>115</v>
      </c>
      <c r="D44" s="144">
        <v>0</v>
      </c>
      <c r="E44" s="345"/>
      <c r="F44" s="324"/>
    </row>
    <row r="45" spans="1:6" ht="15">
      <c r="A45" s="438"/>
      <c r="B45" s="142"/>
      <c r="C45" s="164"/>
      <c r="D45" s="144"/>
      <c r="E45" s="345"/>
      <c r="F45" s="324"/>
    </row>
    <row r="46" spans="1:6" ht="15">
      <c r="A46" s="438"/>
      <c r="B46" s="142"/>
      <c r="C46" s="164"/>
      <c r="D46" s="144"/>
      <c r="E46" s="345"/>
      <c r="F46" s="324"/>
    </row>
    <row r="47" spans="1:6" ht="15">
      <c r="A47" s="438"/>
      <c r="B47" s="142"/>
      <c r="C47" s="164"/>
      <c r="D47" s="144"/>
      <c r="E47" s="345"/>
      <c r="F47" s="324"/>
    </row>
    <row r="48" spans="1:6" ht="15.75">
      <c r="A48" s="438"/>
      <c r="B48" s="142"/>
      <c r="C48" s="145" t="s">
        <v>53</v>
      </c>
      <c r="D48" s="146">
        <v>0</v>
      </c>
      <c r="E48" s="346"/>
      <c r="F48" s="324"/>
    </row>
    <row r="49" spans="1:6" ht="15.75" thickBot="1">
      <c r="A49" s="165"/>
      <c r="B49" s="147"/>
      <c r="C49" s="148"/>
      <c r="D49" s="149"/>
      <c r="E49" s="347"/>
      <c r="F49" s="326"/>
    </row>
    <row r="50" spans="1:6" ht="15.75">
      <c r="A50" s="437" t="s">
        <v>116</v>
      </c>
      <c r="B50" s="437"/>
      <c r="C50" s="437"/>
      <c r="D50" s="166"/>
      <c r="E50" s="352"/>
      <c r="F50" s="327"/>
    </row>
    <row r="51" spans="1:6" ht="15.75" thickBot="1">
      <c r="A51" s="429">
        <v>3113</v>
      </c>
      <c r="B51" s="130">
        <v>5021</v>
      </c>
      <c r="C51" s="167" t="s">
        <v>87</v>
      </c>
      <c r="D51" s="168">
        <v>20482</v>
      </c>
      <c r="E51" s="353"/>
      <c r="F51" s="324">
        <v>10000</v>
      </c>
    </row>
    <row r="52" spans="1:6" ht="15.75" thickBot="1">
      <c r="A52" s="429"/>
      <c r="B52" s="130">
        <v>5136</v>
      </c>
      <c r="C52" s="167" t="s">
        <v>117</v>
      </c>
      <c r="D52" s="168">
        <v>0</v>
      </c>
      <c r="E52" s="353"/>
      <c r="F52" s="324">
        <v>2000</v>
      </c>
    </row>
    <row r="53" spans="1:6" ht="15.75" thickBot="1">
      <c r="A53" s="429"/>
      <c r="B53" s="130">
        <v>5137</v>
      </c>
      <c r="C53" s="167" t="s">
        <v>118</v>
      </c>
      <c r="D53" s="168"/>
      <c r="E53" s="353"/>
      <c r="F53" s="324"/>
    </row>
    <row r="54" spans="1:6" ht="15.75" thickBot="1">
      <c r="A54" s="429"/>
      <c r="B54" s="130">
        <v>5137</v>
      </c>
      <c r="C54" s="167" t="s">
        <v>119</v>
      </c>
      <c r="D54" s="168"/>
      <c r="E54" s="353"/>
      <c r="F54" s="324">
        <v>80000</v>
      </c>
    </row>
    <row r="55" spans="1:6" ht="15.75" thickBot="1">
      <c r="A55" s="429"/>
      <c r="B55" s="130">
        <v>5139</v>
      </c>
      <c r="C55" s="167" t="s">
        <v>120</v>
      </c>
      <c r="D55" s="168">
        <v>15950</v>
      </c>
      <c r="E55" s="353">
        <v>46500</v>
      </c>
      <c r="F55" s="324">
        <v>20000</v>
      </c>
    </row>
    <row r="56" spans="1:6" ht="15.75" thickBot="1">
      <c r="A56" s="429"/>
      <c r="B56" s="130">
        <v>5153</v>
      </c>
      <c r="C56" s="131" t="s">
        <v>121</v>
      </c>
      <c r="D56" s="169">
        <v>97955.54</v>
      </c>
      <c r="E56" s="354">
        <v>60000</v>
      </c>
      <c r="F56" s="324">
        <v>110000</v>
      </c>
    </row>
    <row r="57" spans="1:6" ht="15.75" thickBot="1">
      <c r="A57" s="429"/>
      <c r="B57" s="130">
        <v>5154</v>
      </c>
      <c r="C57" s="131" t="s">
        <v>122</v>
      </c>
      <c r="D57" s="169"/>
      <c r="E57" s="354">
        <v>16000</v>
      </c>
      <c r="F57" s="324">
        <v>0</v>
      </c>
    </row>
    <row r="58" spans="1:6" ht="15.75" thickBot="1">
      <c r="A58" s="429"/>
      <c r="B58" s="130">
        <v>5169</v>
      </c>
      <c r="C58" s="131" t="s">
        <v>115</v>
      </c>
      <c r="D58" s="169">
        <v>29265</v>
      </c>
      <c r="E58" s="354">
        <v>50100</v>
      </c>
      <c r="F58" s="324">
        <v>20000</v>
      </c>
    </row>
    <row r="59" spans="1:6" ht="15.75" thickBot="1">
      <c r="A59" s="429"/>
      <c r="B59" s="130">
        <v>5175</v>
      </c>
      <c r="C59" s="131"/>
      <c r="D59" s="169"/>
      <c r="E59" s="354"/>
      <c r="F59" s="324"/>
    </row>
    <row r="60" spans="1:6" ht="15.75" thickBot="1">
      <c r="A60" s="429"/>
      <c r="B60" s="130">
        <v>5171</v>
      </c>
      <c r="C60" s="131" t="s">
        <v>123</v>
      </c>
      <c r="D60" s="170">
        <v>338820.8</v>
      </c>
      <c r="E60" s="353">
        <v>611600</v>
      </c>
      <c r="F60" s="324">
        <v>20000</v>
      </c>
    </row>
    <row r="61" spans="1:6" ht="15.75" thickBot="1">
      <c r="A61" s="429"/>
      <c r="B61" s="171">
        <v>5321</v>
      </c>
      <c r="C61" s="131"/>
      <c r="D61" s="170"/>
      <c r="E61" s="353"/>
      <c r="F61" s="324"/>
    </row>
    <row r="62" spans="1:6" ht="15.75" thickBot="1">
      <c r="A62" s="429"/>
      <c r="B62" s="130">
        <v>5331</v>
      </c>
      <c r="C62" s="131" t="s">
        <v>124</v>
      </c>
      <c r="D62" s="170">
        <v>652129</v>
      </c>
      <c r="E62" s="353">
        <v>610900</v>
      </c>
      <c r="F62" s="324">
        <v>610000</v>
      </c>
    </row>
    <row r="63" spans="1:6" ht="15.75" thickBot="1">
      <c r="A63" s="429"/>
      <c r="B63" s="130">
        <v>5333</v>
      </c>
      <c r="C63" s="131" t="s">
        <v>125</v>
      </c>
      <c r="D63" s="170">
        <v>13160</v>
      </c>
      <c r="E63" s="353"/>
      <c r="F63" s="324"/>
    </row>
    <row r="64" spans="1:6" ht="15.75" thickBot="1">
      <c r="A64" s="429"/>
      <c r="B64" s="130">
        <v>5336</v>
      </c>
      <c r="C64" s="131" t="s">
        <v>126</v>
      </c>
      <c r="D64" s="170"/>
      <c r="E64" s="353">
        <v>351800</v>
      </c>
      <c r="F64" s="324"/>
    </row>
    <row r="65" spans="1:6" ht="15.75" thickBot="1">
      <c r="A65" s="429"/>
      <c r="B65" s="130">
        <v>5365</v>
      </c>
      <c r="C65" s="131" t="s">
        <v>127</v>
      </c>
      <c r="D65" s="170"/>
      <c r="E65" s="353"/>
      <c r="F65" s="324"/>
    </row>
    <row r="66" spans="1:6" ht="15.75" thickBot="1">
      <c r="A66" s="429"/>
      <c r="B66" s="130">
        <v>6121</v>
      </c>
      <c r="C66" s="131" t="s">
        <v>354</v>
      </c>
      <c r="D66" s="170">
        <v>554111</v>
      </c>
      <c r="E66" s="353">
        <v>0</v>
      </c>
      <c r="F66" s="324">
        <f>1000000+23000</f>
        <v>1023000</v>
      </c>
    </row>
    <row r="67" spans="1:6" ht="16.5" thickBot="1">
      <c r="A67" s="429"/>
      <c r="B67" s="130"/>
      <c r="C67" s="133" t="s">
        <v>53</v>
      </c>
      <c r="D67" s="134">
        <f>SUM(D51:D66)</f>
        <v>1721873.3399999999</v>
      </c>
      <c r="E67" s="134">
        <f>SUM(E51:E66)</f>
        <v>1746900</v>
      </c>
      <c r="F67" s="325">
        <f>SUM(F51:F66)</f>
        <v>1895000</v>
      </c>
    </row>
    <row r="68" spans="1:6" ht="15.75" thickBot="1">
      <c r="A68" s="429"/>
      <c r="B68" s="135"/>
      <c r="C68" s="136"/>
      <c r="D68" s="137"/>
      <c r="E68" s="342"/>
      <c r="F68" s="326"/>
    </row>
    <row r="69" spans="1:6" ht="15.75">
      <c r="A69" s="431" t="s">
        <v>128</v>
      </c>
      <c r="B69" s="431"/>
      <c r="C69" s="431"/>
      <c r="D69" s="138"/>
      <c r="E69" s="343"/>
      <c r="F69" s="327"/>
    </row>
    <row r="70" spans="1:6" ht="15.75" thickBot="1">
      <c r="A70" s="435">
        <v>3314</v>
      </c>
      <c r="B70" s="142">
        <v>5021</v>
      </c>
      <c r="C70" s="143" t="s">
        <v>129</v>
      </c>
      <c r="D70" s="144">
        <v>12000</v>
      </c>
      <c r="E70" s="345">
        <v>9000</v>
      </c>
      <c r="F70" s="324">
        <v>12000</v>
      </c>
    </row>
    <row r="71" spans="1:6" ht="15.75" thickBot="1">
      <c r="A71" s="435"/>
      <c r="B71" s="142">
        <v>5136</v>
      </c>
      <c r="C71" s="143" t="s">
        <v>130</v>
      </c>
      <c r="D71" s="144">
        <v>2729</v>
      </c>
      <c r="E71" s="345">
        <v>1400</v>
      </c>
      <c r="F71" s="324">
        <v>2000</v>
      </c>
    </row>
    <row r="72" spans="1:6" ht="15.75" thickBot="1">
      <c r="A72" s="435"/>
      <c r="B72" s="142">
        <v>5137</v>
      </c>
      <c r="C72" s="143" t="s">
        <v>131</v>
      </c>
      <c r="D72" s="144">
        <v>14735</v>
      </c>
      <c r="E72" s="345">
        <v>1700</v>
      </c>
      <c r="F72" s="324">
        <v>0</v>
      </c>
    </row>
    <row r="73" spans="1:6" ht="15.75" thickBot="1">
      <c r="A73" s="435"/>
      <c r="B73" s="142">
        <v>5139</v>
      </c>
      <c r="C73" s="155" t="s">
        <v>132</v>
      </c>
      <c r="D73" s="144">
        <v>600</v>
      </c>
      <c r="E73" s="345">
        <v>200</v>
      </c>
      <c r="F73" s="324">
        <v>1000</v>
      </c>
    </row>
    <row r="74" spans="1:6" ht="15.75" thickBot="1">
      <c r="A74" s="435"/>
      <c r="B74" s="142">
        <v>5169</v>
      </c>
      <c r="C74" s="143" t="s">
        <v>133</v>
      </c>
      <c r="D74" s="144">
        <v>2133</v>
      </c>
      <c r="E74" s="345">
        <v>0</v>
      </c>
      <c r="F74" s="324">
        <v>2000</v>
      </c>
    </row>
    <row r="75" spans="1:6" ht="15.75" thickBot="1">
      <c r="A75" s="435"/>
      <c r="B75" s="142">
        <v>5171</v>
      </c>
      <c r="C75" s="143" t="s">
        <v>94</v>
      </c>
      <c r="D75" s="144">
        <v>512</v>
      </c>
      <c r="E75" s="345">
        <v>0</v>
      </c>
      <c r="F75" s="324">
        <v>1000</v>
      </c>
    </row>
    <row r="76" spans="1:6" ht="15.75" thickBot="1">
      <c r="A76" s="435"/>
      <c r="B76" s="142">
        <v>5175</v>
      </c>
      <c r="C76" s="143" t="s">
        <v>232</v>
      </c>
      <c r="D76" s="144">
        <v>302</v>
      </c>
      <c r="E76" s="345">
        <v>0</v>
      </c>
      <c r="F76" s="324">
        <v>0</v>
      </c>
    </row>
    <row r="77" spans="1:6" ht="16.5" thickBot="1">
      <c r="A77" s="435"/>
      <c r="B77" s="142"/>
      <c r="C77" s="145" t="s">
        <v>53</v>
      </c>
      <c r="D77" s="146">
        <f>SUM(D70:D76)</f>
        <v>33011</v>
      </c>
      <c r="E77" s="146">
        <f>SUM(E70:E76)</f>
        <v>12300</v>
      </c>
      <c r="F77" s="325">
        <f>SUM(F70:F76)</f>
        <v>18000</v>
      </c>
    </row>
    <row r="78" spans="1:6" ht="15.75" thickBot="1">
      <c r="A78" s="435"/>
      <c r="B78" s="147"/>
      <c r="C78" s="148"/>
      <c r="D78" s="149"/>
      <c r="E78" s="347"/>
      <c r="F78" s="326"/>
    </row>
    <row r="79" spans="1:6" ht="15.75">
      <c r="A79" s="439" t="s">
        <v>134</v>
      </c>
      <c r="B79" s="439"/>
      <c r="C79" s="439"/>
      <c r="D79" s="172"/>
      <c r="E79" s="355"/>
      <c r="F79" s="327"/>
    </row>
    <row r="80" spans="1:6" ht="15.75" thickBot="1">
      <c r="A80" s="429">
        <v>3319</v>
      </c>
      <c r="B80" s="130">
        <v>5021</v>
      </c>
      <c r="C80" s="131" t="s">
        <v>135</v>
      </c>
      <c r="D80" s="132">
        <v>0</v>
      </c>
      <c r="E80" s="340">
        <v>0</v>
      </c>
      <c r="F80" s="324">
        <v>6000</v>
      </c>
    </row>
    <row r="81" spans="1:6" ht="15.75" thickBot="1">
      <c r="A81" s="429"/>
      <c r="B81" s="130">
        <v>5136</v>
      </c>
      <c r="C81" s="131" t="s">
        <v>136</v>
      </c>
      <c r="D81" s="132">
        <v>0</v>
      </c>
      <c r="E81" s="340">
        <v>0</v>
      </c>
      <c r="F81" s="324">
        <v>1000</v>
      </c>
    </row>
    <row r="82" spans="1:6" ht="16.5" thickBot="1">
      <c r="A82" s="429"/>
      <c r="B82" s="130"/>
      <c r="C82" s="133" t="s">
        <v>53</v>
      </c>
      <c r="D82" s="173">
        <f>SUM(D80:D81)</f>
        <v>0</v>
      </c>
      <c r="E82" s="356">
        <v>0</v>
      </c>
      <c r="F82" s="325">
        <f>SUM(F80:F81)</f>
        <v>7000</v>
      </c>
    </row>
    <row r="83" spans="1:6" ht="15.75" thickBot="1">
      <c r="A83" s="429"/>
      <c r="B83" s="174"/>
      <c r="C83" s="175"/>
      <c r="D83" s="176"/>
      <c r="E83" s="357"/>
      <c r="F83" s="328"/>
    </row>
    <row r="84" spans="1:6" ht="15.75">
      <c r="A84" s="440" t="s">
        <v>137</v>
      </c>
      <c r="B84" s="440"/>
      <c r="C84" s="440"/>
      <c r="D84" s="251"/>
      <c r="E84" s="358"/>
      <c r="F84" s="327"/>
    </row>
    <row r="85" spans="1:6" ht="15.75" thickBot="1">
      <c r="A85" s="441">
        <v>3326</v>
      </c>
      <c r="B85" s="177">
        <v>5139</v>
      </c>
      <c r="C85" s="178" t="s">
        <v>138</v>
      </c>
      <c r="D85" s="254">
        <v>330</v>
      </c>
      <c r="E85" s="359">
        <v>0</v>
      </c>
      <c r="F85" s="324">
        <v>0</v>
      </c>
    </row>
    <row r="86" spans="1:6" ht="15.75" thickBot="1">
      <c r="A86" s="441"/>
      <c r="B86" s="177">
        <v>5169</v>
      </c>
      <c r="C86" s="178" t="s">
        <v>133</v>
      </c>
      <c r="D86" s="254">
        <v>163</v>
      </c>
      <c r="E86" s="359">
        <v>0</v>
      </c>
      <c r="F86" s="329">
        <f>400000*0.4</f>
        <v>160000</v>
      </c>
    </row>
    <row r="87" spans="1:6" ht="15.75" thickBot="1">
      <c r="A87" s="441"/>
      <c r="B87" s="177">
        <v>5171</v>
      </c>
      <c r="C87" s="178" t="s">
        <v>94</v>
      </c>
      <c r="D87" s="254">
        <v>10516</v>
      </c>
      <c r="E87" s="359">
        <v>0</v>
      </c>
      <c r="F87" s="324">
        <v>5000</v>
      </c>
    </row>
    <row r="88" spans="1:6" ht="16.5" thickBot="1">
      <c r="A88" s="441"/>
      <c r="B88" s="177"/>
      <c r="C88" s="179" t="s">
        <v>139</v>
      </c>
      <c r="D88" s="146">
        <f>SUM(D85:D87)</f>
        <v>11009</v>
      </c>
      <c r="E88" s="346">
        <v>0</v>
      </c>
      <c r="F88" s="325">
        <f>SUM(F86:F87)</f>
        <v>165000</v>
      </c>
    </row>
    <row r="89" spans="1:6" ht="16.5" thickBot="1">
      <c r="A89" s="441"/>
      <c r="B89" s="180"/>
      <c r="C89" s="181"/>
      <c r="D89" s="322"/>
      <c r="E89" s="360"/>
      <c r="F89" s="326"/>
    </row>
    <row r="90" spans="1:6" ht="16.5" thickBot="1">
      <c r="A90" s="182"/>
      <c r="B90" s="182"/>
      <c r="C90" s="183"/>
      <c r="D90" s="184"/>
      <c r="E90" s="361"/>
      <c r="F90" s="185"/>
    </row>
    <row r="91" spans="1:6" ht="15.75">
      <c r="A91" s="442" t="s">
        <v>140</v>
      </c>
      <c r="B91" s="442"/>
      <c r="C91" s="442"/>
      <c r="D91" s="186"/>
      <c r="E91" s="362"/>
      <c r="F91" s="392"/>
    </row>
    <row r="92" spans="1:6" ht="15.75" thickBot="1">
      <c r="A92" s="435">
        <v>3399</v>
      </c>
      <c r="B92" s="142">
        <v>5021</v>
      </c>
      <c r="C92" s="155" t="s">
        <v>141</v>
      </c>
      <c r="D92" s="144">
        <v>12000</v>
      </c>
      <c r="E92" s="345">
        <v>12588</v>
      </c>
      <c r="F92" s="393">
        <v>12000</v>
      </c>
    </row>
    <row r="93" spans="1:6" ht="15.75" thickBot="1">
      <c r="A93" s="435"/>
      <c r="B93" s="142">
        <v>5139</v>
      </c>
      <c r="C93" s="143" t="s">
        <v>138</v>
      </c>
      <c r="D93" s="144">
        <v>1154</v>
      </c>
      <c r="E93" s="345">
        <v>0</v>
      </c>
      <c r="F93" s="393">
        <v>0</v>
      </c>
    </row>
    <row r="94" spans="1:6" ht="15.75" thickBot="1">
      <c r="A94" s="435"/>
      <c r="B94" s="142">
        <v>5169</v>
      </c>
      <c r="C94" s="155" t="s">
        <v>115</v>
      </c>
      <c r="D94" s="187">
        <v>124730</v>
      </c>
      <c r="E94" s="363">
        <v>68700</v>
      </c>
      <c r="F94" s="394">
        <v>57000</v>
      </c>
    </row>
    <row r="95" spans="1:6" ht="15.75" thickBot="1">
      <c r="A95" s="435"/>
      <c r="B95" s="142">
        <v>5175</v>
      </c>
      <c r="C95" s="143" t="s">
        <v>142</v>
      </c>
      <c r="D95" s="144">
        <v>2159</v>
      </c>
      <c r="E95" s="345">
        <v>1100</v>
      </c>
      <c r="F95" s="393">
        <v>2000</v>
      </c>
    </row>
    <row r="96" spans="1:6" ht="15.75" thickBot="1">
      <c r="A96" s="435"/>
      <c r="B96" s="142">
        <v>5194</v>
      </c>
      <c r="C96" s="143" t="s">
        <v>143</v>
      </c>
      <c r="D96" s="144">
        <v>10223</v>
      </c>
      <c r="E96" s="345">
        <v>9500</v>
      </c>
      <c r="F96" s="393">
        <v>10000</v>
      </c>
    </row>
    <row r="97" spans="1:6" ht="15.75" thickBot="1">
      <c r="A97" s="435"/>
      <c r="B97" s="436">
        <v>5229</v>
      </c>
      <c r="C97" s="443" t="s">
        <v>144</v>
      </c>
      <c r="D97" s="444">
        <v>112484</v>
      </c>
      <c r="E97" s="363">
        <v>23700</v>
      </c>
      <c r="F97" s="393">
        <f>37000+8800</f>
        <v>45800</v>
      </c>
    </row>
    <row r="98" spans="1:6" ht="15.75" thickBot="1">
      <c r="A98" s="435"/>
      <c r="B98" s="436"/>
      <c r="C98" s="443"/>
      <c r="D98" s="444"/>
      <c r="E98" s="363"/>
      <c r="F98" s="393"/>
    </row>
    <row r="99" spans="1:6" ht="15.75" thickBot="1">
      <c r="A99" s="435"/>
      <c r="B99" s="142">
        <v>5229</v>
      </c>
      <c r="C99" s="155" t="s">
        <v>145</v>
      </c>
      <c r="D99" s="188"/>
      <c r="E99" s="364">
        <v>48700</v>
      </c>
      <c r="F99" s="395">
        <v>93000</v>
      </c>
    </row>
    <row r="100" spans="1:6" ht="15.75" thickBot="1">
      <c r="A100" s="435"/>
      <c r="B100" s="142">
        <v>5492</v>
      </c>
      <c r="C100" s="143" t="s">
        <v>146</v>
      </c>
      <c r="D100" s="187">
        <v>9200</v>
      </c>
      <c r="E100" s="363">
        <v>18200</v>
      </c>
      <c r="F100" s="393">
        <v>18000</v>
      </c>
    </row>
    <row r="101" spans="1:6" ht="16.5" thickBot="1">
      <c r="A101" s="435"/>
      <c r="B101" s="142"/>
      <c r="C101" s="145" t="s">
        <v>53</v>
      </c>
      <c r="D101" s="146">
        <f>SUM(D92:D100)</f>
        <v>271950</v>
      </c>
      <c r="E101" s="146">
        <f>SUM(E92:E100)</f>
        <v>182488</v>
      </c>
      <c r="F101" s="396">
        <f>SUM(F92:F100)</f>
        <v>237800</v>
      </c>
    </row>
    <row r="102" spans="1:6" ht="15.75" thickBot="1">
      <c r="A102" s="435"/>
      <c r="B102" s="147"/>
      <c r="C102" s="148"/>
      <c r="D102" s="149"/>
      <c r="E102" s="347"/>
      <c r="F102" s="397"/>
    </row>
    <row r="103" spans="1:6" ht="15.75">
      <c r="A103" s="445" t="s">
        <v>147</v>
      </c>
      <c r="B103" s="445"/>
      <c r="C103" s="445"/>
      <c r="D103" s="189"/>
      <c r="E103" s="365"/>
      <c r="F103" s="323"/>
    </row>
    <row r="104" spans="1:6" ht="15.75">
      <c r="A104" s="398"/>
      <c r="B104" s="400">
        <v>5021</v>
      </c>
      <c r="C104" s="399" t="s">
        <v>189</v>
      </c>
      <c r="D104" s="401">
        <v>0</v>
      </c>
      <c r="E104" s="402">
        <v>14400</v>
      </c>
      <c r="F104" s="323">
        <v>10000</v>
      </c>
    </row>
    <row r="105" spans="1:6" ht="15.75" thickBot="1">
      <c r="A105" s="429">
        <v>3412</v>
      </c>
      <c r="B105" s="130">
        <v>5137</v>
      </c>
      <c r="C105" s="131" t="s">
        <v>118</v>
      </c>
      <c r="D105" s="132">
        <v>0</v>
      </c>
      <c r="E105" s="353">
        <v>46000</v>
      </c>
      <c r="F105" s="324">
        <v>0</v>
      </c>
    </row>
    <row r="106" spans="1:6" ht="15.75" thickBot="1">
      <c r="A106" s="429"/>
      <c r="B106" s="130">
        <v>5139</v>
      </c>
      <c r="C106" s="131" t="s">
        <v>138</v>
      </c>
      <c r="D106" s="132">
        <v>1310</v>
      </c>
      <c r="E106" s="353">
        <v>64000</v>
      </c>
      <c r="F106" s="324">
        <v>1000</v>
      </c>
    </row>
    <row r="107" spans="1:6" ht="15.75" thickBot="1">
      <c r="A107" s="429"/>
      <c r="B107" s="130">
        <v>5154</v>
      </c>
      <c r="C107" s="131" t="s">
        <v>148</v>
      </c>
      <c r="D107" s="132">
        <v>3388</v>
      </c>
      <c r="E107" s="353">
        <v>2000</v>
      </c>
      <c r="F107" s="324">
        <v>4000</v>
      </c>
    </row>
    <row r="108" spans="1:6" ht="15.75" thickBot="1">
      <c r="A108" s="429"/>
      <c r="B108" s="130">
        <v>5156</v>
      </c>
      <c r="C108" s="190"/>
      <c r="D108" s="132"/>
      <c r="E108" s="353"/>
      <c r="F108" s="324"/>
    </row>
    <row r="109" spans="1:6" ht="15.75" thickBot="1">
      <c r="A109" s="429"/>
      <c r="B109" s="430">
        <v>5169</v>
      </c>
      <c r="C109" s="131" t="s">
        <v>149</v>
      </c>
      <c r="D109" s="132"/>
      <c r="E109" s="353">
        <v>28200</v>
      </c>
      <c r="F109" s="324">
        <v>635000</v>
      </c>
    </row>
    <row r="110" spans="1:6" ht="15.75" thickBot="1">
      <c r="A110" s="429"/>
      <c r="B110" s="430"/>
      <c r="C110" s="131" t="s">
        <v>115</v>
      </c>
      <c r="D110" s="191">
        <v>71436</v>
      </c>
      <c r="E110" s="354"/>
      <c r="F110" s="324">
        <v>5000</v>
      </c>
    </row>
    <row r="111" spans="1:6" ht="15.75" thickBot="1">
      <c r="A111" s="429"/>
      <c r="B111" s="130">
        <v>6122</v>
      </c>
      <c r="C111" s="131" t="s">
        <v>457</v>
      </c>
      <c r="D111" s="191"/>
      <c r="E111" s="354">
        <v>40100</v>
      </c>
      <c r="F111" s="324">
        <v>0</v>
      </c>
    </row>
    <row r="112" spans="1:6" ht="16.5" thickBot="1">
      <c r="A112" s="429"/>
      <c r="B112" s="130"/>
      <c r="C112" s="133" t="s">
        <v>53</v>
      </c>
      <c r="D112" s="134">
        <f>SUM(D105:D111)</f>
        <v>76134</v>
      </c>
      <c r="E112" s="134">
        <f>SUM(E104:E111)</f>
        <v>194700</v>
      </c>
      <c r="F112" s="325">
        <f>SUM(F104:F111)</f>
        <v>655000</v>
      </c>
    </row>
    <row r="113" spans="1:6" ht="15.75" thickBot="1">
      <c r="A113" s="429"/>
      <c r="B113" s="135"/>
      <c r="C113" s="136"/>
      <c r="D113" s="137"/>
      <c r="E113" s="342"/>
      <c r="F113" s="328"/>
    </row>
    <row r="114" spans="1:6" ht="15.75">
      <c r="A114" s="431" t="s">
        <v>151</v>
      </c>
      <c r="B114" s="431"/>
      <c r="C114" s="431"/>
      <c r="D114" s="138"/>
      <c r="E114" s="343"/>
      <c r="F114" s="392"/>
    </row>
    <row r="115" spans="1:6" ht="30.75" thickBot="1">
      <c r="A115" s="435">
        <v>3419</v>
      </c>
      <c r="B115" s="142">
        <v>5229</v>
      </c>
      <c r="C115" s="192" t="s">
        <v>152</v>
      </c>
      <c r="D115" s="156">
        <v>10500</v>
      </c>
      <c r="E115" s="349">
        <v>28000</v>
      </c>
      <c r="F115" s="394">
        <v>20000</v>
      </c>
    </row>
    <row r="116" spans="1:6" ht="16.5" thickBot="1">
      <c r="A116" s="435"/>
      <c r="B116" s="142"/>
      <c r="C116" s="145" t="s">
        <v>53</v>
      </c>
      <c r="D116" s="146">
        <f>SUM(D115)</f>
        <v>10500</v>
      </c>
      <c r="E116" s="346">
        <v>28000</v>
      </c>
      <c r="F116" s="396">
        <f>SUM(F115)</f>
        <v>20000</v>
      </c>
    </row>
    <row r="117" spans="1:6" ht="16.5" thickBot="1">
      <c r="A117" s="435"/>
      <c r="B117" s="147"/>
      <c r="C117" s="193"/>
      <c r="D117" s="194"/>
      <c r="E117" s="367"/>
      <c r="F117" s="397"/>
    </row>
    <row r="118" spans="1:6" ht="16.5" thickBot="1">
      <c r="A118" s="446" t="s">
        <v>153</v>
      </c>
      <c r="B118" s="446"/>
      <c r="C118" s="446"/>
      <c r="D118" s="195"/>
      <c r="E118" s="368"/>
      <c r="F118" s="330"/>
    </row>
    <row r="119" spans="1:6" ht="15.75" thickBot="1">
      <c r="A119" s="447">
        <v>3612</v>
      </c>
      <c r="B119" s="196">
        <v>5137</v>
      </c>
      <c r="C119" s="197" t="s">
        <v>118</v>
      </c>
      <c r="D119" s="198">
        <v>1176</v>
      </c>
      <c r="E119" s="369"/>
      <c r="F119" s="327">
        <v>2000</v>
      </c>
    </row>
    <row r="120" spans="1:6" ht="15.75" thickBot="1">
      <c r="A120" s="447"/>
      <c r="B120" s="130">
        <v>5139</v>
      </c>
      <c r="C120" s="131" t="s">
        <v>138</v>
      </c>
      <c r="D120" s="132">
        <v>1547</v>
      </c>
      <c r="E120" s="340">
        <v>700</v>
      </c>
      <c r="F120" s="324">
        <v>1500</v>
      </c>
    </row>
    <row r="121" spans="1:6" ht="15.75" thickBot="1">
      <c r="A121" s="447"/>
      <c r="B121" s="130">
        <v>5154</v>
      </c>
      <c r="C121" s="199" t="s">
        <v>64</v>
      </c>
      <c r="D121" s="132">
        <v>1489</v>
      </c>
      <c r="E121" s="340">
        <v>1600</v>
      </c>
      <c r="F121" s="324">
        <v>3000</v>
      </c>
    </row>
    <row r="122" spans="1:6" ht="15.75" thickBot="1">
      <c r="A122" s="447"/>
      <c r="B122" s="130">
        <v>5169</v>
      </c>
      <c r="C122" s="131" t="s">
        <v>133</v>
      </c>
      <c r="D122" s="132">
        <v>101246</v>
      </c>
      <c r="E122" s="340">
        <v>15500</v>
      </c>
      <c r="F122" s="324">
        <v>220000</v>
      </c>
    </row>
    <row r="123" spans="1:6" ht="15.75" thickBot="1">
      <c r="A123" s="447"/>
      <c r="B123" s="130">
        <v>5171</v>
      </c>
      <c r="C123" s="131" t="s">
        <v>154</v>
      </c>
      <c r="D123" s="132">
        <v>98650</v>
      </c>
      <c r="E123" s="340">
        <v>2000</v>
      </c>
      <c r="F123" s="324">
        <v>10000</v>
      </c>
    </row>
    <row r="124" spans="1:6" ht="16.5" thickBot="1">
      <c r="A124" s="447"/>
      <c r="B124" s="130"/>
      <c r="C124" s="133" t="s">
        <v>53</v>
      </c>
      <c r="D124" s="134">
        <f>SUM(D119:D123)</f>
        <v>204108</v>
      </c>
      <c r="E124" s="134">
        <f>SUM(E119:E123)</f>
        <v>19800</v>
      </c>
      <c r="F124" s="325">
        <f>SUM(F119:F123)</f>
        <v>236500</v>
      </c>
    </row>
    <row r="125" spans="1:6" ht="15.75" thickBot="1">
      <c r="A125" s="447"/>
      <c r="B125" s="135"/>
      <c r="C125" s="136"/>
      <c r="D125" s="137"/>
      <c r="E125" s="342"/>
      <c r="F125" s="328"/>
    </row>
    <row r="126" spans="1:6" ht="15.75">
      <c r="A126" s="431" t="s">
        <v>155</v>
      </c>
      <c r="B126" s="431"/>
      <c r="C126" s="431"/>
      <c r="D126" s="138"/>
      <c r="E126" s="343"/>
      <c r="F126" s="392"/>
    </row>
    <row r="127" spans="1:6" ht="15.75" thickBot="1">
      <c r="A127" s="435">
        <v>3631</v>
      </c>
      <c r="B127" s="142">
        <v>5137</v>
      </c>
      <c r="C127" s="143" t="s">
        <v>118</v>
      </c>
      <c r="D127" s="144">
        <v>282</v>
      </c>
      <c r="E127" s="345">
        <v>0</v>
      </c>
      <c r="F127" s="393">
        <v>0</v>
      </c>
    </row>
    <row r="128" spans="1:6" ht="15.75" thickBot="1">
      <c r="A128" s="435"/>
      <c r="B128" s="142">
        <v>5139</v>
      </c>
      <c r="C128" s="143" t="s">
        <v>138</v>
      </c>
      <c r="D128" s="144"/>
      <c r="E128" s="345">
        <v>33000</v>
      </c>
      <c r="F128" s="393">
        <v>15000</v>
      </c>
    </row>
    <row r="129" spans="1:6" ht="15.75" thickBot="1">
      <c r="A129" s="435"/>
      <c r="B129" s="142">
        <v>5154</v>
      </c>
      <c r="C129" s="143" t="s">
        <v>156</v>
      </c>
      <c r="D129" s="144">
        <v>111401</v>
      </c>
      <c r="E129" s="345">
        <v>96000</v>
      </c>
      <c r="F129" s="393">
        <v>140000</v>
      </c>
    </row>
    <row r="130" spans="1:6" ht="15.75" thickBot="1">
      <c r="A130" s="435"/>
      <c r="B130" s="142">
        <v>5169</v>
      </c>
      <c r="C130" s="143" t="s">
        <v>157</v>
      </c>
      <c r="D130" s="144"/>
      <c r="E130" s="345">
        <v>62000</v>
      </c>
      <c r="F130" s="393">
        <v>130000</v>
      </c>
    </row>
    <row r="131" spans="1:6" ht="15.75" thickBot="1">
      <c r="A131" s="435"/>
      <c r="B131" s="142">
        <v>5171</v>
      </c>
      <c r="C131" s="143" t="s">
        <v>94</v>
      </c>
      <c r="D131" s="144">
        <v>123082</v>
      </c>
      <c r="E131" s="345">
        <v>172000</v>
      </c>
      <c r="F131" s="393">
        <v>170000</v>
      </c>
    </row>
    <row r="132" spans="1:6" ht="15.75" thickBot="1">
      <c r="A132" s="435"/>
      <c r="B132" s="142">
        <v>5172</v>
      </c>
      <c r="C132" s="143" t="s">
        <v>158</v>
      </c>
      <c r="D132" s="144"/>
      <c r="E132" s="345"/>
      <c r="F132" s="393"/>
    </row>
    <row r="133" spans="1:6" ht="15.75" thickBot="1">
      <c r="A133" s="435"/>
      <c r="B133" s="142">
        <v>6121</v>
      </c>
      <c r="C133" s="143" t="s">
        <v>159</v>
      </c>
      <c r="D133" s="144">
        <v>17860</v>
      </c>
      <c r="E133" s="345"/>
      <c r="F133" s="403"/>
    </row>
    <row r="134" spans="1:6" ht="16.5" thickBot="1">
      <c r="A134" s="435"/>
      <c r="B134" s="142"/>
      <c r="C134" s="200" t="s">
        <v>53</v>
      </c>
      <c r="D134" s="146">
        <f>SUM(D127:D133)</f>
        <v>252625</v>
      </c>
      <c r="E134" s="146">
        <f>SUM(E127:E133)</f>
        <v>363000</v>
      </c>
      <c r="F134" s="396">
        <f>SUM(F127:F132)</f>
        <v>455000</v>
      </c>
    </row>
    <row r="135" spans="1:6" ht="15.75" thickBot="1">
      <c r="A135" s="435"/>
      <c r="B135" s="147"/>
      <c r="C135" s="148"/>
      <c r="D135" s="149"/>
      <c r="E135" s="347"/>
      <c r="F135" s="397"/>
    </row>
    <row r="136" spans="1:6" ht="15.75">
      <c r="A136" s="437" t="s">
        <v>160</v>
      </c>
      <c r="B136" s="437"/>
      <c r="C136" s="437"/>
      <c r="D136" s="157"/>
      <c r="E136" s="350"/>
      <c r="F136" s="323"/>
    </row>
    <row r="137" spans="1:6" ht="15.75" thickBot="1">
      <c r="A137" s="429">
        <v>3632</v>
      </c>
      <c r="B137" s="130">
        <v>5021</v>
      </c>
      <c r="C137" s="201" t="s">
        <v>161</v>
      </c>
      <c r="D137" s="202">
        <v>3633</v>
      </c>
      <c r="E137" s="340">
        <v>2500</v>
      </c>
      <c r="F137" s="324">
        <v>3000</v>
      </c>
    </row>
    <row r="138" spans="1:6" ht="15.75" thickBot="1">
      <c r="A138" s="429"/>
      <c r="B138" s="130">
        <v>5137</v>
      </c>
      <c r="C138" s="201" t="s">
        <v>118</v>
      </c>
      <c r="D138" s="202">
        <v>0</v>
      </c>
      <c r="E138" s="340"/>
      <c r="F138" s="324">
        <v>0</v>
      </c>
    </row>
    <row r="139" spans="1:6" ht="15.75" thickBot="1">
      <c r="A139" s="429"/>
      <c r="B139" s="130">
        <v>5139</v>
      </c>
      <c r="C139" s="201" t="s">
        <v>138</v>
      </c>
      <c r="D139" s="202">
        <v>0</v>
      </c>
      <c r="E139" s="340">
        <v>500</v>
      </c>
      <c r="F139" s="324">
        <v>0</v>
      </c>
    </row>
    <row r="140" spans="1:6" ht="15.75" thickBot="1">
      <c r="A140" s="429"/>
      <c r="B140" s="130">
        <v>5156</v>
      </c>
      <c r="C140" s="201" t="s">
        <v>162</v>
      </c>
      <c r="D140" s="202">
        <v>0</v>
      </c>
      <c r="E140" s="340"/>
      <c r="F140" s="324">
        <v>1000</v>
      </c>
    </row>
    <row r="141" spans="1:6" ht="15.75" thickBot="1">
      <c r="A141" s="429"/>
      <c r="B141" s="130">
        <v>5169</v>
      </c>
      <c r="C141" s="131" t="s">
        <v>163</v>
      </c>
      <c r="D141" s="132">
        <v>7150</v>
      </c>
      <c r="E141" s="340">
        <v>4400</v>
      </c>
      <c r="F141" s="324">
        <v>5000</v>
      </c>
    </row>
    <row r="142" spans="1:6" ht="15.75" thickBot="1">
      <c r="A142" s="429"/>
      <c r="B142" s="130">
        <v>5171</v>
      </c>
      <c r="C142" s="131" t="s">
        <v>94</v>
      </c>
      <c r="D142" s="132">
        <v>0</v>
      </c>
      <c r="E142" s="340"/>
      <c r="F142" s="324">
        <v>0</v>
      </c>
    </row>
    <row r="143" spans="1:6" ht="16.5" thickBot="1">
      <c r="A143" s="429"/>
      <c r="B143" s="130"/>
      <c r="C143" s="133" t="s">
        <v>53</v>
      </c>
      <c r="D143" s="134">
        <f>SUM(D137:D142)</f>
        <v>10783</v>
      </c>
      <c r="E143" s="134">
        <f>SUM(E137:E142)</f>
        <v>7400</v>
      </c>
      <c r="F143" s="325">
        <f>SUM(F137:F142)</f>
        <v>9000</v>
      </c>
    </row>
    <row r="144" spans="1:6" ht="15.75" thickBot="1">
      <c r="A144" s="429"/>
      <c r="B144" s="135"/>
      <c r="C144" s="136"/>
      <c r="D144" s="137"/>
      <c r="E144" s="342"/>
      <c r="F144" s="326"/>
    </row>
    <row r="145" spans="1:6" ht="15.75">
      <c r="A145" s="203" t="s">
        <v>164</v>
      </c>
      <c r="B145" s="204"/>
      <c r="C145" s="205"/>
      <c r="D145" s="138"/>
      <c r="E145" s="343"/>
      <c r="F145" s="327"/>
    </row>
    <row r="146" spans="1:6" ht="15.75" thickBot="1">
      <c r="A146" s="435">
        <v>3639</v>
      </c>
      <c r="B146" s="142">
        <v>5219</v>
      </c>
      <c r="C146" s="143" t="s">
        <v>165</v>
      </c>
      <c r="D146" s="144">
        <v>24000</v>
      </c>
      <c r="E146" s="345">
        <v>18600</v>
      </c>
      <c r="F146" s="324">
        <v>0</v>
      </c>
    </row>
    <row r="147" spans="1:6" ht="16.5" thickBot="1">
      <c r="A147" s="435"/>
      <c r="B147" s="142"/>
      <c r="C147" s="145" t="s">
        <v>53</v>
      </c>
      <c r="D147" s="206">
        <f>SUM(D146)</f>
        <v>24000</v>
      </c>
      <c r="E147" s="206">
        <f>SUM(E146)</f>
        <v>18600</v>
      </c>
      <c r="F147" s="325">
        <f>SUM(F146)</f>
        <v>0</v>
      </c>
    </row>
    <row r="148" spans="1:6" ht="15.75" thickBot="1">
      <c r="A148" s="435"/>
      <c r="B148" s="147"/>
      <c r="C148" s="148"/>
      <c r="D148" s="149"/>
      <c r="E148" s="347"/>
      <c r="F148" s="326"/>
    </row>
    <row r="149" spans="1:6" ht="15.75">
      <c r="A149" s="437" t="s">
        <v>166</v>
      </c>
      <c r="B149" s="437"/>
      <c r="C149" s="437"/>
      <c r="D149" s="157"/>
      <c r="E149" s="350"/>
      <c r="F149" s="327"/>
    </row>
    <row r="150" spans="1:6" ht="15.75" thickBot="1">
      <c r="A150" s="429">
        <v>3722</v>
      </c>
      <c r="B150" s="130">
        <v>5021</v>
      </c>
      <c r="C150" s="207" t="s">
        <v>192</v>
      </c>
      <c r="D150" s="208">
        <v>14476</v>
      </c>
      <c r="E150" s="370">
        <v>11200</v>
      </c>
      <c r="F150" s="324">
        <v>10000</v>
      </c>
    </row>
    <row r="151" spans="1:6" ht="15.75" thickBot="1">
      <c r="A151" s="429"/>
      <c r="B151" s="130">
        <v>5137</v>
      </c>
      <c r="C151" s="209" t="s">
        <v>118</v>
      </c>
      <c r="D151" s="210">
        <v>0</v>
      </c>
      <c r="E151" s="371">
        <v>0</v>
      </c>
      <c r="F151" s="324"/>
    </row>
    <row r="152" spans="1:6" ht="15.75" thickBot="1">
      <c r="A152" s="429"/>
      <c r="B152" s="130">
        <v>5139</v>
      </c>
      <c r="C152" s="211" t="s">
        <v>167</v>
      </c>
      <c r="D152" s="210">
        <v>16632</v>
      </c>
      <c r="E152" s="371">
        <v>12000</v>
      </c>
      <c r="F152" s="324">
        <v>17000</v>
      </c>
    </row>
    <row r="153" spans="1:6" ht="15.75" thickBot="1">
      <c r="A153" s="429"/>
      <c r="B153" s="130">
        <v>5166</v>
      </c>
      <c r="C153" s="211"/>
      <c r="D153" s="210"/>
      <c r="E153" s="371"/>
      <c r="F153" s="324"/>
    </row>
    <row r="154" spans="1:6" ht="15.75" thickBot="1">
      <c r="A154" s="429"/>
      <c r="B154" s="130">
        <v>5169</v>
      </c>
      <c r="C154" s="211" t="s">
        <v>168</v>
      </c>
      <c r="D154" s="132">
        <v>521967.71</v>
      </c>
      <c r="E154" s="340">
        <v>433000</v>
      </c>
      <c r="F154" s="324">
        <v>500000</v>
      </c>
    </row>
    <row r="155" spans="1:6" ht="15.75" thickBot="1">
      <c r="A155" s="429"/>
      <c r="B155" s="130">
        <v>5171</v>
      </c>
      <c r="C155" s="211" t="s">
        <v>94</v>
      </c>
      <c r="D155" s="132">
        <v>0</v>
      </c>
      <c r="E155" s="340">
        <v>0</v>
      </c>
      <c r="F155" s="324">
        <v>0</v>
      </c>
    </row>
    <row r="156" spans="1:6" ht="15.75" thickBot="1">
      <c r="A156" s="429"/>
      <c r="B156" s="130">
        <v>6122</v>
      </c>
      <c r="C156" s="211" t="s">
        <v>169</v>
      </c>
      <c r="D156" s="132">
        <v>53059</v>
      </c>
      <c r="E156" s="340">
        <v>0</v>
      </c>
      <c r="F156" s="324">
        <v>0</v>
      </c>
    </row>
    <row r="157" spans="1:6" ht="16.5" thickBot="1">
      <c r="A157" s="429"/>
      <c r="B157" s="130"/>
      <c r="C157" s="133" t="s">
        <v>53</v>
      </c>
      <c r="D157" s="134">
        <f>SUM(D149:D156)</f>
        <v>606134.71</v>
      </c>
      <c r="E157" s="134">
        <f>SUM(E149:E156)</f>
        <v>456200</v>
      </c>
      <c r="F157" s="325">
        <f>SUM(F151:F156)</f>
        <v>517000</v>
      </c>
    </row>
    <row r="158" spans="1:6" ht="15.75" thickBot="1">
      <c r="A158" s="429"/>
      <c r="B158" s="135"/>
      <c r="C158" s="136"/>
      <c r="D158" s="137"/>
      <c r="E158" s="342"/>
      <c r="F158" s="326"/>
    </row>
    <row r="159" spans="1:6" ht="15.75">
      <c r="A159" s="203" t="s">
        <v>170</v>
      </c>
      <c r="B159" s="204"/>
      <c r="C159" s="205"/>
      <c r="D159" s="138"/>
      <c r="E159" s="343"/>
      <c r="F159" s="327"/>
    </row>
    <row r="160" spans="1:6" ht="15.75" thickBot="1">
      <c r="A160" s="435">
        <v>3745</v>
      </c>
      <c r="B160" s="142">
        <v>5021</v>
      </c>
      <c r="C160" s="143" t="s">
        <v>171</v>
      </c>
      <c r="D160" s="144">
        <v>45153</v>
      </c>
      <c r="E160" s="345">
        <v>36900</v>
      </c>
      <c r="F160" s="324">
        <v>40000</v>
      </c>
    </row>
    <row r="161" spans="1:6" ht="15.75" thickBot="1">
      <c r="A161" s="435"/>
      <c r="B161" s="142">
        <v>5137</v>
      </c>
      <c r="C161" s="143" t="s">
        <v>118</v>
      </c>
      <c r="D161" s="144"/>
      <c r="E161" s="345">
        <v>16400</v>
      </c>
      <c r="F161" s="324">
        <v>81000</v>
      </c>
    </row>
    <row r="162" spans="1:6" ht="15.75" thickBot="1">
      <c r="A162" s="435"/>
      <c r="B162" s="142">
        <v>5139</v>
      </c>
      <c r="C162" s="143" t="s">
        <v>172</v>
      </c>
      <c r="D162" s="144">
        <v>16674</v>
      </c>
      <c r="E162" s="345">
        <v>13200</v>
      </c>
      <c r="F162" s="324">
        <v>10000</v>
      </c>
    </row>
    <row r="163" spans="1:6" ht="15.75" thickBot="1">
      <c r="A163" s="435"/>
      <c r="B163" s="142">
        <v>5156</v>
      </c>
      <c r="C163" s="143" t="s">
        <v>173</v>
      </c>
      <c r="D163" s="144">
        <v>24179</v>
      </c>
      <c r="E163" s="345">
        <v>32300</v>
      </c>
      <c r="F163" s="324">
        <v>30000</v>
      </c>
    </row>
    <row r="164" spans="1:6" ht="15.75" thickBot="1">
      <c r="A164" s="435"/>
      <c r="B164" s="142">
        <v>5169</v>
      </c>
      <c r="C164" s="143" t="s">
        <v>174</v>
      </c>
      <c r="D164" s="144">
        <v>34495</v>
      </c>
      <c r="E164" s="345">
        <v>33400</v>
      </c>
      <c r="F164" s="324">
        <v>33000</v>
      </c>
    </row>
    <row r="165" spans="1:6" ht="15.75" thickBot="1">
      <c r="A165" s="435"/>
      <c r="B165" s="142">
        <v>5171</v>
      </c>
      <c r="C165" s="143" t="s">
        <v>94</v>
      </c>
      <c r="D165" s="144">
        <v>111314</v>
      </c>
      <c r="E165" s="345">
        <v>103500</v>
      </c>
      <c r="F165" s="324">
        <v>170000</v>
      </c>
    </row>
    <row r="166" spans="1:6" ht="16.5" thickBot="1">
      <c r="A166" s="435"/>
      <c r="B166" s="147"/>
      <c r="C166" s="193" t="s">
        <v>53</v>
      </c>
      <c r="D166" s="212">
        <f>SUM(D160:D165)</f>
        <v>231815</v>
      </c>
      <c r="E166" s="212">
        <f>SUM(E160:E165)</f>
        <v>235700</v>
      </c>
      <c r="F166" s="331">
        <f>SUM(F160:F165)</f>
        <v>364000</v>
      </c>
    </row>
    <row r="167" spans="1:6" ht="15.75">
      <c r="A167" s="213" t="s">
        <v>175</v>
      </c>
      <c r="B167" s="214"/>
      <c r="C167" s="215" t="s">
        <v>176</v>
      </c>
      <c r="D167" s="157"/>
      <c r="E167" s="350"/>
      <c r="F167" s="327"/>
    </row>
    <row r="168" spans="1:6" ht="15.75" thickBot="1">
      <c r="A168" s="429">
        <v>4339</v>
      </c>
      <c r="B168" s="211"/>
      <c r="C168" s="211"/>
      <c r="D168" s="132"/>
      <c r="E168" s="340"/>
      <c r="F168" s="324"/>
    </row>
    <row r="169" spans="1:6" ht="15.75" thickBot="1">
      <c r="A169" s="429"/>
      <c r="B169" s="211"/>
      <c r="C169" s="211"/>
      <c r="D169" s="132"/>
      <c r="E169" s="340"/>
      <c r="F169" s="324"/>
    </row>
    <row r="170" spans="1:6" ht="15.75" thickBot="1">
      <c r="A170" s="429"/>
      <c r="B170" s="211"/>
      <c r="C170" s="211"/>
      <c r="D170" s="132"/>
      <c r="E170" s="340"/>
      <c r="F170" s="324"/>
    </row>
    <row r="171" spans="1:6" ht="16.5" thickBot="1">
      <c r="A171" s="429"/>
      <c r="B171" s="130"/>
      <c r="C171" s="133"/>
      <c r="D171" s="173"/>
      <c r="E171" s="356"/>
      <c r="F171" s="324"/>
    </row>
    <row r="172" spans="1:6" ht="16.5" thickBot="1">
      <c r="A172" s="429"/>
      <c r="B172" s="135"/>
      <c r="C172" s="216"/>
      <c r="D172" s="217"/>
      <c r="E172" s="373"/>
      <c r="F172" s="328"/>
    </row>
    <row r="173" spans="1:6" ht="15.75">
      <c r="A173" s="431" t="s">
        <v>177</v>
      </c>
      <c r="B173" s="431"/>
      <c r="C173" s="431"/>
      <c r="D173" s="138"/>
      <c r="E173" s="343"/>
      <c r="F173" s="392"/>
    </row>
    <row r="174" spans="1:6" ht="15.75" thickBot="1">
      <c r="A174" s="435">
        <v>5512</v>
      </c>
      <c r="B174" s="142">
        <v>5021</v>
      </c>
      <c r="C174" s="218" t="s">
        <v>178</v>
      </c>
      <c r="D174" s="219"/>
      <c r="E174" s="374"/>
      <c r="F174" s="393"/>
    </row>
    <row r="175" spans="1:6" ht="15.75" thickBot="1">
      <c r="A175" s="435"/>
      <c r="B175" s="142">
        <v>5132</v>
      </c>
      <c r="C175" s="218" t="s">
        <v>179</v>
      </c>
      <c r="D175" s="220">
        <v>0</v>
      </c>
      <c r="E175" s="375">
        <v>0</v>
      </c>
      <c r="F175" s="393"/>
    </row>
    <row r="176" spans="1:6" ht="15.75" thickBot="1">
      <c r="A176" s="435"/>
      <c r="B176" s="142">
        <v>5134</v>
      </c>
      <c r="C176" s="218" t="s">
        <v>180</v>
      </c>
      <c r="D176" s="220">
        <v>9735</v>
      </c>
      <c r="E176" s="375">
        <v>0</v>
      </c>
      <c r="F176" s="393">
        <v>3000</v>
      </c>
    </row>
    <row r="177" spans="1:6" ht="15.75" thickBot="1">
      <c r="A177" s="435"/>
      <c r="B177" s="142">
        <v>5137</v>
      </c>
      <c r="C177" s="218" t="s">
        <v>118</v>
      </c>
      <c r="D177" s="220">
        <v>57540</v>
      </c>
      <c r="E177" s="375">
        <v>4800</v>
      </c>
      <c r="F177" s="404">
        <v>15000</v>
      </c>
    </row>
    <row r="178" spans="1:6" ht="15.75" thickBot="1">
      <c r="A178" s="435"/>
      <c r="B178" s="142">
        <v>5139</v>
      </c>
      <c r="C178" s="143" t="s">
        <v>138</v>
      </c>
      <c r="D178" s="144">
        <v>2731</v>
      </c>
      <c r="E178" s="345"/>
      <c r="F178" s="393">
        <v>0</v>
      </c>
    </row>
    <row r="179" spans="1:6" ht="15.75" thickBot="1">
      <c r="A179" s="435"/>
      <c r="B179" s="142">
        <v>5156</v>
      </c>
      <c r="C179" s="143" t="s">
        <v>181</v>
      </c>
      <c r="D179" s="144">
        <v>2742</v>
      </c>
      <c r="E179" s="345">
        <v>2900</v>
      </c>
      <c r="F179" s="393">
        <v>3000</v>
      </c>
    </row>
    <row r="180" spans="1:6" ht="15.75" thickBot="1">
      <c r="A180" s="435"/>
      <c r="B180" s="142">
        <v>5169</v>
      </c>
      <c r="C180" s="143" t="s">
        <v>182</v>
      </c>
      <c r="D180" s="144">
        <v>12250</v>
      </c>
      <c r="E180" s="345">
        <v>2200</v>
      </c>
      <c r="F180" s="393">
        <v>12000</v>
      </c>
    </row>
    <row r="181" spans="1:6" ht="15.75" thickBot="1">
      <c r="A181" s="435"/>
      <c r="B181" s="142">
        <v>5171</v>
      </c>
      <c r="C181" s="143" t="s">
        <v>94</v>
      </c>
      <c r="D181" s="144">
        <v>15448</v>
      </c>
      <c r="E181" s="345">
        <v>12300</v>
      </c>
      <c r="F181" s="393">
        <v>235000</v>
      </c>
    </row>
    <row r="182" spans="1:6" ht="15.75" thickBot="1">
      <c r="A182" s="435"/>
      <c r="B182" s="142">
        <v>5229</v>
      </c>
      <c r="C182" s="143" t="s">
        <v>183</v>
      </c>
      <c r="D182" s="144">
        <v>12572</v>
      </c>
      <c r="E182" s="345">
        <v>0</v>
      </c>
      <c r="F182" s="393">
        <v>8000</v>
      </c>
    </row>
    <row r="183" spans="1:6" ht="16.5" thickBot="1">
      <c r="A183" s="435"/>
      <c r="B183" s="147"/>
      <c r="C183" s="193" t="s">
        <v>53</v>
      </c>
      <c r="D183" s="212">
        <f>SUM(D175:D182)</f>
        <v>113018</v>
      </c>
      <c r="E183" s="212">
        <f>SUM(E175:E182)</f>
        <v>22200</v>
      </c>
      <c r="F183" s="405">
        <f>SUM(F175:F182)</f>
        <v>276000</v>
      </c>
    </row>
    <row r="184" spans="1:6" ht="15.75">
      <c r="A184" s="445" t="s">
        <v>184</v>
      </c>
      <c r="B184" s="445"/>
      <c r="C184" s="445"/>
      <c r="D184" s="189"/>
      <c r="E184" s="365"/>
      <c r="F184" s="323"/>
    </row>
    <row r="185" spans="1:8" ht="15.75" thickBot="1">
      <c r="A185" s="429">
        <v>6112</v>
      </c>
      <c r="B185" s="130">
        <v>5023</v>
      </c>
      <c r="C185" s="131" t="s">
        <v>185</v>
      </c>
      <c r="D185" s="132">
        <v>571851</v>
      </c>
      <c r="E185" s="340">
        <v>493000</v>
      </c>
      <c r="F185" s="324">
        <v>670000</v>
      </c>
      <c r="H185" s="221"/>
    </row>
    <row r="186" spans="1:6" ht="15.75" thickBot="1">
      <c r="A186" s="429"/>
      <c r="B186" s="130">
        <v>5031</v>
      </c>
      <c r="C186" s="131" t="s">
        <v>186</v>
      </c>
      <c r="D186" s="132">
        <v>124963</v>
      </c>
      <c r="E186" s="340">
        <v>108000</v>
      </c>
      <c r="F186" s="324">
        <v>125000</v>
      </c>
    </row>
    <row r="187" spans="1:6" ht="15.75" thickBot="1">
      <c r="A187" s="429"/>
      <c r="B187" s="130">
        <v>5032</v>
      </c>
      <c r="C187" s="131" t="s">
        <v>187</v>
      </c>
      <c r="D187" s="132">
        <v>51478</v>
      </c>
      <c r="E187" s="340">
        <v>44400</v>
      </c>
      <c r="F187" s="324">
        <v>60000</v>
      </c>
    </row>
    <row r="188" spans="1:6" ht="15.75" thickBot="1">
      <c r="A188" s="429"/>
      <c r="B188" s="130">
        <v>5173</v>
      </c>
      <c r="C188" s="131" t="s">
        <v>188</v>
      </c>
      <c r="D188" s="132">
        <v>42570</v>
      </c>
      <c r="E188" s="340">
        <v>30000</v>
      </c>
      <c r="F188" s="324">
        <v>35000</v>
      </c>
    </row>
    <row r="189" spans="1:6" ht="16.5" thickBot="1">
      <c r="A189" s="429"/>
      <c r="B189" s="130"/>
      <c r="C189" s="133" t="s">
        <v>53</v>
      </c>
      <c r="D189" s="134">
        <f>SUM(D185:D188)</f>
        <v>790862</v>
      </c>
      <c r="E189" s="134">
        <f>SUM(E185:E188)</f>
        <v>675400</v>
      </c>
      <c r="F189" s="325">
        <f>SUM(F185:F188)</f>
        <v>890000</v>
      </c>
    </row>
    <row r="190" spans="1:6" ht="15.75" thickBot="1">
      <c r="A190" s="429"/>
      <c r="B190" s="135"/>
      <c r="C190" s="136"/>
      <c r="D190" s="137"/>
      <c r="E190" s="342"/>
      <c r="F190" s="326"/>
    </row>
    <row r="191" spans="1:6" ht="15.75">
      <c r="A191" s="448"/>
      <c r="B191" s="448"/>
      <c r="C191" s="448"/>
      <c r="D191" s="222"/>
      <c r="E191" s="376"/>
      <c r="F191" s="332"/>
    </row>
    <row r="192" spans="1:6" ht="15.75" thickBot="1">
      <c r="A192" s="449">
        <v>6115</v>
      </c>
      <c r="B192" s="142">
        <v>5021</v>
      </c>
      <c r="C192" s="143" t="s">
        <v>189</v>
      </c>
      <c r="D192" s="144">
        <v>15202</v>
      </c>
      <c r="E192" s="345"/>
      <c r="F192" s="333"/>
    </row>
    <row r="193" spans="1:6" ht="15.75" thickBot="1">
      <c r="A193" s="449"/>
      <c r="B193" s="142">
        <v>5139</v>
      </c>
      <c r="C193" s="143" t="s">
        <v>190</v>
      </c>
      <c r="D193" s="144">
        <v>1021</v>
      </c>
      <c r="E193" s="345"/>
      <c r="F193" s="333"/>
    </row>
    <row r="194" spans="1:6" ht="15.75" thickBot="1">
      <c r="A194" s="449"/>
      <c r="B194" s="142">
        <v>5161</v>
      </c>
      <c r="C194" s="143" t="s">
        <v>355</v>
      </c>
      <c r="D194" s="144">
        <v>1724.65</v>
      </c>
      <c r="E194" s="345"/>
      <c r="F194" s="333"/>
    </row>
    <row r="195" spans="1:6" ht="15.75" thickBot="1">
      <c r="A195" s="449"/>
      <c r="B195" s="142">
        <v>5169</v>
      </c>
      <c r="C195" s="143" t="s">
        <v>356</v>
      </c>
      <c r="D195" s="144">
        <v>306</v>
      </c>
      <c r="E195" s="345"/>
      <c r="F195" s="333"/>
    </row>
    <row r="196" spans="1:6" ht="15.75" thickBot="1">
      <c r="A196" s="449"/>
      <c r="B196" s="142">
        <v>5175</v>
      </c>
      <c r="C196" s="143" t="s">
        <v>150</v>
      </c>
      <c r="D196" s="144">
        <v>1680</v>
      </c>
      <c r="E196" s="345"/>
      <c r="F196" s="333"/>
    </row>
    <row r="197" spans="1:6" ht="16.5" thickBot="1">
      <c r="A197" s="449"/>
      <c r="B197" s="142"/>
      <c r="C197" s="145" t="s">
        <v>53</v>
      </c>
      <c r="D197" s="223">
        <f>SUM(D192:D196)</f>
        <v>19933.65</v>
      </c>
      <c r="E197" s="377"/>
      <c r="F197" s="333"/>
    </row>
    <row r="198" spans="1:6" ht="15.75" thickBot="1">
      <c r="A198" s="449"/>
      <c r="B198" s="224"/>
      <c r="C198" s="225"/>
      <c r="D198" s="226"/>
      <c r="E198" s="378"/>
      <c r="F198" s="334"/>
    </row>
    <row r="199" spans="1:6" ht="15.75">
      <c r="A199" s="442" t="s">
        <v>458</v>
      </c>
      <c r="B199" s="442"/>
      <c r="C199" s="442"/>
      <c r="D199" s="186"/>
      <c r="E199" s="362"/>
      <c r="F199" s="327"/>
    </row>
    <row r="200" spans="1:8" ht="15.75" thickBot="1">
      <c r="A200" s="435">
        <v>6114</v>
      </c>
      <c r="B200" s="142">
        <v>5021</v>
      </c>
      <c r="C200" s="143" t="s">
        <v>192</v>
      </c>
      <c r="D200" s="144"/>
      <c r="E200" s="345">
        <v>3300</v>
      </c>
      <c r="F200" s="324"/>
      <c r="H200" s="221"/>
    </row>
    <row r="201" spans="1:6" ht="15.75" thickBot="1">
      <c r="A201" s="435"/>
      <c r="B201" s="142">
        <v>5032</v>
      </c>
      <c r="C201" s="143" t="s">
        <v>193</v>
      </c>
      <c r="D201" s="144"/>
      <c r="E201" s="345"/>
      <c r="F201" s="324"/>
    </row>
    <row r="202" spans="1:6" ht="15.75" thickBot="1">
      <c r="A202" s="435"/>
      <c r="B202" s="142">
        <v>5139</v>
      </c>
      <c r="C202" s="143" t="s">
        <v>138</v>
      </c>
      <c r="D202" s="144">
        <v>0</v>
      </c>
      <c r="E202" s="345">
        <v>3200</v>
      </c>
      <c r="F202" s="324"/>
    </row>
    <row r="203" spans="1:6" ht="15.75" thickBot="1">
      <c r="A203" s="435"/>
      <c r="B203" s="142">
        <v>5173</v>
      </c>
      <c r="C203" s="143" t="s">
        <v>188</v>
      </c>
      <c r="D203" s="144"/>
      <c r="E203" s="345">
        <v>200</v>
      </c>
      <c r="F203" s="324"/>
    </row>
    <row r="204" spans="1:6" ht="15.75" thickBot="1">
      <c r="A204" s="435"/>
      <c r="B204" s="142">
        <v>5169</v>
      </c>
      <c r="C204" s="143" t="s">
        <v>133</v>
      </c>
      <c r="D204" s="144"/>
      <c r="E204" s="345">
        <v>100</v>
      </c>
      <c r="F204" s="324"/>
    </row>
    <row r="205" spans="1:6" ht="15.75" thickBot="1">
      <c r="A205" s="435"/>
      <c r="B205" s="142">
        <v>5175</v>
      </c>
      <c r="C205" s="143" t="s">
        <v>150</v>
      </c>
      <c r="D205" s="144"/>
      <c r="E205" s="345">
        <v>900</v>
      </c>
      <c r="F205" s="324"/>
    </row>
    <row r="206" spans="1:8" ht="16.5" thickBot="1">
      <c r="A206" s="435"/>
      <c r="B206" s="142"/>
      <c r="C206" s="145" t="s">
        <v>53</v>
      </c>
      <c r="D206" s="227">
        <f>SUM(D202)</f>
        <v>0</v>
      </c>
      <c r="E206" s="379">
        <f>SUM(E200:E205)</f>
        <v>7700</v>
      </c>
      <c r="F206" s="325"/>
      <c r="H206" s="221"/>
    </row>
    <row r="207" spans="1:6" ht="15.75" thickBot="1">
      <c r="A207" s="435"/>
      <c r="B207" s="147"/>
      <c r="C207" s="148"/>
      <c r="D207" s="149"/>
      <c r="E207" s="347"/>
      <c r="F207" s="326"/>
    </row>
    <row r="208" spans="1:6" ht="15.75">
      <c r="A208" s="450" t="s">
        <v>194</v>
      </c>
      <c r="B208" s="450"/>
      <c r="C208" s="450"/>
      <c r="D208" s="228"/>
      <c r="E208" s="380"/>
      <c r="F208" s="327"/>
    </row>
    <row r="209" spans="1:6" ht="16.5" thickBot="1">
      <c r="A209" s="451">
        <v>6118</v>
      </c>
      <c r="B209" s="171">
        <v>5011</v>
      </c>
      <c r="C209" s="229"/>
      <c r="D209" s="230"/>
      <c r="E209" s="381"/>
      <c r="F209" s="324"/>
    </row>
    <row r="210" spans="1:6" ht="15.75" thickBot="1">
      <c r="A210" s="451"/>
      <c r="B210" s="171">
        <v>5021</v>
      </c>
      <c r="C210" s="190" t="s">
        <v>192</v>
      </c>
      <c r="D210" s="191"/>
      <c r="E210" s="345"/>
      <c r="F210" s="324">
        <v>3200</v>
      </c>
    </row>
    <row r="211" spans="1:6" ht="15.75" thickBot="1">
      <c r="A211" s="451"/>
      <c r="B211" s="171">
        <v>5032</v>
      </c>
      <c r="C211" s="190" t="s">
        <v>195</v>
      </c>
      <c r="D211" s="191"/>
      <c r="E211" s="345"/>
      <c r="F211" s="324"/>
    </row>
    <row r="212" spans="1:6" ht="15.75" thickBot="1">
      <c r="A212" s="451"/>
      <c r="B212" s="171">
        <v>5139</v>
      </c>
      <c r="C212" s="190" t="s">
        <v>138</v>
      </c>
      <c r="D212" s="191"/>
      <c r="E212" s="345"/>
      <c r="F212" s="324">
        <v>3500</v>
      </c>
    </row>
    <row r="213" spans="1:6" ht="15.75" thickBot="1">
      <c r="A213" s="451"/>
      <c r="B213" s="171">
        <v>5161</v>
      </c>
      <c r="C213" s="190" t="s">
        <v>191</v>
      </c>
      <c r="D213" s="191"/>
      <c r="E213" s="345"/>
      <c r="F213" s="324">
        <v>500</v>
      </c>
    </row>
    <row r="214" spans="1:6" ht="15.75" thickBot="1">
      <c r="A214" s="451"/>
      <c r="B214" s="171">
        <v>5169</v>
      </c>
      <c r="C214" s="190" t="s">
        <v>133</v>
      </c>
      <c r="D214" s="191"/>
      <c r="E214" s="345"/>
      <c r="F214" s="324">
        <v>1000</v>
      </c>
    </row>
    <row r="215" spans="1:6" ht="15.75" thickBot="1">
      <c r="A215" s="451"/>
      <c r="B215" s="171">
        <v>5173</v>
      </c>
      <c r="C215" s="190" t="s">
        <v>188</v>
      </c>
      <c r="D215" s="191"/>
      <c r="E215" s="345"/>
      <c r="F215" s="324">
        <v>200</v>
      </c>
    </row>
    <row r="216" spans="1:6" ht="16.5" thickBot="1">
      <c r="A216" s="451"/>
      <c r="B216" s="171">
        <v>5175</v>
      </c>
      <c r="C216" s="190" t="s">
        <v>150</v>
      </c>
      <c r="D216" s="191"/>
      <c r="E216" s="379"/>
      <c r="F216" s="325">
        <v>1000</v>
      </c>
    </row>
    <row r="217" spans="1:6" ht="15.75" thickBot="1">
      <c r="A217" s="451"/>
      <c r="B217" s="171">
        <v>5362</v>
      </c>
      <c r="C217" s="190" t="s">
        <v>196</v>
      </c>
      <c r="D217" s="191"/>
      <c r="E217" s="366"/>
      <c r="F217" s="324">
        <v>0</v>
      </c>
    </row>
    <row r="218" spans="1:6" ht="16.5" thickBot="1">
      <c r="A218" s="451"/>
      <c r="B218" s="171"/>
      <c r="C218" s="231" t="s">
        <v>53</v>
      </c>
      <c r="D218" s="134">
        <f>SUM(D210:D217)</f>
        <v>0</v>
      </c>
      <c r="E218" s="341"/>
      <c r="F218" s="325">
        <f>SUM(F210:F217)</f>
        <v>9400</v>
      </c>
    </row>
    <row r="219" spans="1:6" ht="15.75" thickBot="1">
      <c r="A219" s="451"/>
      <c r="B219" s="232"/>
      <c r="C219" s="233"/>
      <c r="D219" s="234"/>
      <c r="E219" s="406"/>
      <c r="F219" s="326"/>
    </row>
    <row r="220" spans="1:6" ht="15.75">
      <c r="A220" s="452" t="s">
        <v>197</v>
      </c>
      <c r="B220" s="452"/>
      <c r="C220" s="452"/>
      <c r="D220" s="163"/>
      <c r="E220" s="408"/>
      <c r="F220" s="327"/>
    </row>
    <row r="221" spans="1:6" ht="15.75" thickBot="1">
      <c r="A221" s="435">
        <v>6171</v>
      </c>
      <c r="B221" s="142">
        <v>5011</v>
      </c>
      <c r="C221" s="143" t="s">
        <v>198</v>
      </c>
      <c r="D221" s="144">
        <v>823250</v>
      </c>
      <c r="E221" s="345">
        <v>694400</v>
      </c>
      <c r="F221" s="324">
        <v>830000</v>
      </c>
    </row>
    <row r="222" spans="1:6" ht="15.75" thickBot="1">
      <c r="A222" s="435"/>
      <c r="B222" s="142">
        <v>5021</v>
      </c>
      <c r="C222" s="143" t="s">
        <v>199</v>
      </c>
      <c r="D222" s="144">
        <v>7580</v>
      </c>
      <c r="E222" s="345">
        <v>1700</v>
      </c>
      <c r="F222" s="324">
        <v>8000</v>
      </c>
    </row>
    <row r="223" spans="1:6" ht="15.75" thickBot="1">
      <c r="A223" s="435"/>
      <c r="B223" s="142">
        <v>5031</v>
      </c>
      <c r="C223" s="143" t="s">
        <v>200</v>
      </c>
      <c r="D223" s="144">
        <v>205267</v>
      </c>
      <c r="E223" s="345">
        <v>173600</v>
      </c>
      <c r="F223" s="324">
        <v>205000</v>
      </c>
    </row>
    <row r="224" spans="1:6" ht="15.75" thickBot="1">
      <c r="A224" s="435"/>
      <c r="B224" s="142">
        <v>5032</v>
      </c>
      <c r="C224" s="143" t="s">
        <v>201</v>
      </c>
      <c r="D224" s="144">
        <v>73905</v>
      </c>
      <c r="E224" s="345">
        <v>62500</v>
      </c>
      <c r="F224" s="324">
        <v>70000</v>
      </c>
    </row>
    <row r="225" spans="1:6" ht="15.75" thickBot="1">
      <c r="A225" s="435"/>
      <c r="B225" s="142">
        <v>5038</v>
      </c>
      <c r="C225" s="143" t="s">
        <v>202</v>
      </c>
      <c r="D225" s="144">
        <v>6597</v>
      </c>
      <c r="E225" s="345">
        <v>3600</v>
      </c>
      <c r="F225" s="324">
        <v>6500</v>
      </c>
    </row>
    <row r="226" spans="1:6" ht="15.75" thickBot="1">
      <c r="A226" s="435"/>
      <c r="B226" s="142">
        <v>5132</v>
      </c>
      <c r="C226" s="143" t="s">
        <v>179</v>
      </c>
      <c r="D226" s="144">
        <v>226</v>
      </c>
      <c r="E226" s="345">
        <v>1500</v>
      </c>
      <c r="F226" s="324">
        <v>1000</v>
      </c>
    </row>
    <row r="227" spans="1:6" ht="15.75" thickBot="1">
      <c r="A227" s="435"/>
      <c r="B227" s="142">
        <v>5136</v>
      </c>
      <c r="C227" s="143" t="s">
        <v>203</v>
      </c>
      <c r="D227" s="144">
        <v>3176</v>
      </c>
      <c r="E227" s="345">
        <v>1600</v>
      </c>
      <c r="F227" s="324">
        <v>3000</v>
      </c>
    </row>
    <row r="228" spans="1:6" ht="15.75" thickBot="1">
      <c r="A228" s="435"/>
      <c r="B228" s="142">
        <v>5137</v>
      </c>
      <c r="C228" s="143" t="s">
        <v>99</v>
      </c>
      <c r="D228" s="144">
        <v>79480.5</v>
      </c>
      <c r="E228" s="345">
        <v>9900</v>
      </c>
      <c r="F228" s="324">
        <v>40000</v>
      </c>
    </row>
    <row r="229" spans="1:6" ht="15.75" thickBot="1">
      <c r="A229" s="435"/>
      <c r="B229" s="142">
        <v>5139</v>
      </c>
      <c r="C229" s="143" t="s">
        <v>204</v>
      </c>
      <c r="D229" s="144">
        <v>43762.7</v>
      </c>
      <c r="E229" s="345">
        <v>20900</v>
      </c>
      <c r="F229" s="324">
        <v>40000</v>
      </c>
    </row>
    <row r="230" spans="1:6" ht="15.75" thickBot="1">
      <c r="A230" s="435"/>
      <c r="B230" s="224">
        <v>5141</v>
      </c>
      <c r="C230" s="143" t="s">
        <v>205</v>
      </c>
      <c r="D230" s="144">
        <v>762.57</v>
      </c>
      <c r="E230" s="345"/>
      <c r="F230" s="324">
        <v>1000</v>
      </c>
    </row>
    <row r="231" spans="1:6" ht="15.75" thickBot="1">
      <c r="A231" s="435"/>
      <c r="B231" s="436">
        <v>5153</v>
      </c>
      <c r="C231" s="143" t="s">
        <v>206</v>
      </c>
      <c r="D231" s="144">
        <v>59756.46</v>
      </c>
      <c r="E231" s="345">
        <v>74900</v>
      </c>
      <c r="F231" s="324">
        <v>65000</v>
      </c>
    </row>
    <row r="232" spans="1:6" ht="15.75" thickBot="1">
      <c r="A232" s="435"/>
      <c r="B232" s="436"/>
      <c r="C232" s="143" t="s">
        <v>207</v>
      </c>
      <c r="D232" s="235"/>
      <c r="E232" s="382"/>
      <c r="F232" s="324"/>
    </row>
    <row r="233" spans="1:6" ht="15.75" thickBot="1">
      <c r="A233" s="435"/>
      <c r="B233" s="436"/>
      <c r="C233" s="143" t="s">
        <v>208</v>
      </c>
      <c r="D233" s="235"/>
      <c r="E233" s="382"/>
      <c r="F233" s="324"/>
    </row>
    <row r="234" spans="1:6" ht="15.75" thickBot="1">
      <c r="A234" s="435"/>
      <c r="B234" s="436"/>
      <c r="C234" s="143" t="s">
        <v>209</v>
      </c>
      <c r="D234" s="235"/>
      <c r="E234" s="382"/>
      <c r="F234" s="324"/>
    </row>
    <row r="235" spans="1:6" ht="15.75" thickBot="1">
      <c r="A235" s="435"/>
      <c r="B235" s="436"/>
      <c r="C235" s="143"/>
      <c r="D235" s="144"/>
      <c r="E235" s="345"/>
      <c r="F235" s="324"/>
    </row>
    <row r="236" spans="1:6" ht="15.75" thickBot="1">
      <c r="A236" s="435"/>
      <c r="B236" s="436">
        <v>5154</v>
      </c>
      <c r="C236" s="143" t="s">
        <v>210</v>
      </c>
      <c r="D236" s="144">
        <v>182028</v>
      </c>
      <c r="E236" s="345">
        <v>215400</v>
      </c>
      <c r="F236" s="324">
        <v>180000</v>
      </c>
    </row>
    <row r="237" spans="1:6" ht="15.75" thickBot="1">
      <c r="A237" s="435"/>
      <c r="B237" s="436"/>
      <c r="C237" s="225" t="s">
        <v>211</v>
      </c>
      <c r="D237" s="236"/>
      <c r="E237" s="383"/>
      <c r="F237" s="324"/>
    </row>
    <row r="238" spans="1:6" ht="15.75" thickBot="1">
      <c r="A238" s="435"/>
      <c r="B238" s="436"/>
      <c r="C238" s="237" t="s">
        <v>212</v>
      </c>
      <c r="D238" s="236"/>
      <c r="E238" s="383"/>
      <c r="F238" s="324"/>
    </row>
    <row r="239" spans="1:6" ht="15.75" thickBot="1">
      <c r="A239" s="435"/>
      <c r="B239" s="436"/>
      <c r="C239" s="237" t="s">
        <v>213</v>
      </c>
      <c r="D239" s="236"/>
      <c r="E239" s="383"/>
      <c r="F239" s="324"/>
    </row>
    <row r="240" spans="1:6" ht="15.75" thickBot="1">
      <c r="A240" s="435"/>
      <c r="B240" s="436"/>
      <c r="C240" s="237" t="s">
        <v>214</v>
      </c>
      <c r="D240" s="236"/>
      <c r="E240" s="383"/>
      <c r="F240" s="324"/>
    </row>
    <row r="241" spans="1:6" ht="15.75" thickBot="1">
      <c r="A241" s="435"/>
      <c r="B241" s="436"/>
      <c r="C241" s="237" t="s">
        <v>215</v>
      </c>
      <c r="D241" s="236"/>
      <c r="E241" s="383"/>
      <c r="F241" s="324"/>
    </row>
    <row r="242" spans="1:6" ht="15.75" thickBot="1">
      <c r="A242" s="435"/>
      <c r="B242" s="436"/>
      <c r="C242" s="237" t="s">
        <v>216</v>
      </c>
      <c r="D242" s="236"/>
      <c r="E242" s="383"/>
      <c r="F242" s="324"/>
    </row>
    <row r="243" spans="1:6" ht="15.75" thickBot="1">
      <c r="A243" s="435"/>
      <c r="B243" s="436"/>
      <c r="C243" s="237" t="s">
        <v>217</v>
      </c>
      <c r="D243" s="236"/>
      <c r="E243" s="383"/>
      <c r="F243" s="324"/>
    </row>
    <row r="244" spans="1:6" ht="15.75" thickBot="1">
      <c r="A244" s="435"/>
      <c r="B244" s="436"/>
      <c r="C244" s="237" t="s">
        <v>218</v>
      </c>
      <c r="D244" s="236"/>
      <c r="E244" s="383"/>
      <c r="F244" s="324"/>
    </row>
    <row r="245" spans="1:6" ht="15.75" thickBot="1">
      <c r="A245" s="435"/>
      <c r="B245" s="436"/>
      <c r="C245" s="237" t="s">
        <v>219</v>
      </c>
      <c r="D245" s="236"/>
      <c r="E245" s="383"/>
      <c r="F245" s="324"/>
    </row>
    <row r="246" spans="1:6" ht="15.75" thickBot="1">
      <c r="A246" s="435"/>
      <c r="B246" s="436"/>
      <c r="C246" s="143" t="s">
        <v>220</v>
      </c>
      <c r="D246" s="238"/>
      <c r="E246" s="384"/>
      <c r="F246" s="324"/>
    </row>
    <row r="247" spans="1:6" ht="15.75" thickBot="1">
      <c r="A247" s="435"/>
      <c r="B247" s="436"/>
      <c r="C247" s="143" t="s">
        <v>221</v>
      </c>
      <c r="D247" s="238"/>
      <c r="E247" s="384"/>
      <c r="F247" s="324"/>
    </row>
    <row r="248" spans="1:6" ht="15.75" thickBot="1">
      <c r="A248" s="435"/>
      <c r="B248" s="436"/>
      <c r="C248" s="143" t="s">
        <v>222</v>
      </c>
      <c r="D248" s="238">
        <v>5599</v>
      </c>
      <c r="E248" s="384"/>
      <c r="F248" s="324"/>
    </row>
    <row r="249" spans="1:6" ht="15.75" thickBot="1">
      <c r="A249" s="435"/>
      <c r="B249" s="436"/>
      <c r="C249" s="143" t="s">
        <v>223</v>
      </c>
      <c r="D249" s="238"/>
      <c r="E249" s="384"/>
      <c r="F249" s="324"/>
    </row>
    <row r="250" spans="1:6" ht="15.75" thickBot="1">
      <c r="A250" s="435"/>
      <c r="B250" s="142">
        <v>5156</v>
      </c>
      <c r="C250" s="143" t="s">
        <v>224</v>
      </c>
      <c r="D250" s="144">
        <v>48480</v>
      </c>
      <c r="E250" s="345">
        <v>48100</v>
      </c>
      <c r="F250" s="324">
        <v>50000</v>
      </c>
    </row>
    <row r="251" spans="1:6" ht="15.75" thickBot="1">
      <c r="A251" s="435"/>
      <c r="B251" s="142">
        <v>5161</v>
      </c>
      <c r="C251" s="143" t="s">
        <v>225</v>
      </c>
      <c r="D251" s="144">
        <v>7764</v>
      </c>
      <c r="E251" s="345">
        <v>7500</v>
      </c>
      <c r="F251" s="324">
        <v>10000</v>
      </c>
    </row>
    <row r="252" spans="1:6" ht="15.75" thickBot="1">
      <c r="A252" s="435"/>
      <c r="B252" s="142">
        <v>5162</v>
      </c>
      <c r="C252" s="143" t="s">
        <v>226</v>
      </c>
      <c r="D252" s="144">
        <v>23308.63</v>
      </c>
      <c r="E252" s="345">
        <v>21800</v>
      </c>
      <c r="F252" s="324">
        <v>25000</v>
      </c>
    </row>
    <row r="253" spans="1:6" ht="15.75" thickBot="1">
      <c r="A253" s="435"/>
      <c r="B253" s="142">
        <v>5163</v>
      </c>
      <c r="C253" s="143" t="s">
        <v>227</v>
      </c>
      <c r="D253" s="144">
        <v>14353.4</v>
      </c>
      <c r="E253" s="345">
        <v>10900</v>
      </c>
      <c r="F253" s="324">
        <v>12000</v>
      </c>
    </row>
    <row r="254" spans="1:6" ht="15.75" thickBot="1">
      <c r="A254" s="435"/>
      <c r="B254" s="142">
        <v>5164</v>
      </c>
      <c r="C254" s="143" t="s">
        <v>228</v>
      </c>
      <c r="D254" s="144">
        <v>69197</v>
      </c>
      <c r="E254" s="345">
        <v>12200</v>
      </c>
      <c r="F254" s="324">
        <v>45000</v>
      </c>
    </row>
    <row r="255" spans="1:6" ht="15.75" thickBot="1">
      <c r="A255" s="435"/>
      <c r="B255" s="142">
        <v>5166</v>
      </c>
      <c r="C255" s="143" t="s">
        <v>229</v>
      </c>
      <c r="D255" s="144">
        <v>15066</v>
      </c>
      <c r="E255" s="345">
        <v>17200</v>
      </c>
      <c r="F255" s="324">
        <v>15000</v>
      </c>
    </row>
    <row r="256" spans="1:6" ht="15.75" thickBot="1">
      <c r="A256" s="435"/>
      <c r="B256" s="142">
        <v>5167</v>
      </c>
      <c r="C256" s="143" t="s">
        <v>230</v>
      </c>
      <c r="D256" s="144">
        <v>18232</v>
      </c>
      <c r="E256" s="345">
        <v>14000</v>
      </c>
      <c r="F256" s="324">
        <v>15000</v>
      </c>
    </row>
    <row r="257" spans="1:6" ht="15.75" thickBot="1">
      <c r="A257" s="435"/>
      <c r="B257" s="142">
        <v>5168</v>
      </c>
      <c r="C257" s="143" t="s">
        <v>231</v>
      </c>
      <c r="D257" s="144">
        <v>15609</v>
      </c>
      <c r="E257" s="345">
        <v>45500</v>
      </c>
      <c r="F257" s="324">
        <v>27000</v>
      </c>
    </row>
    <row r="258" spans="1:6" ht="15.75" thickBot="1">
      <c r="A258" s="435"/>
      <c r="B258" s="224">
        <v>5169</v>
      </c>
      <c r="C258" s="143" t="s">
        <v>133</v>
      </c>
      <c r="D258" s="144">
        <v>361663.2</v>
      </c>
      <c r="E258" s="345">
        <v>127600</v>
      </c>
      <c r="F258" s="324">
        <v>120000</v>
      </c>
    </row>
    <row r="259" spans="1:6" ht="15.75" thickBot="1">
      <c r="A259" s="435"/>
      <c r="B259" s="142">
        <v>5171</v>
      </c>
      <c r="C259" s="143" t="s">
        <v>459</v>
      </c>
      <c r="D259" s="144">
        <v>77460</v>
      </c>
      <c r="E259" s="345">
        <v>31800</v>
      </c>
      <c r="F259" s="324">
        <v>105000</v>
      </c>
    </row>
    <row r="260" spans="1:6" ht="15.75" thickBot="1">
      <c r="A260" s="435"/>
      <c r="B260" s="142">
        <v>5172</v>
      </c>
      <c r="C260" s="143" t="s">
        <v>158</v>
      </c>
      <c r="D260" s="144">
        <v>0</v>
      </c>
      <c r="E260" s="345"/>
      <c r="F260" s="324">
        <v>0</v>
      </c>
    </row>
    <row r="261" spans="1:6" ht="15.75" thickBot="1">
      <c r="A261" s="435"/>
      <c r="B261" s="142">
        <v>5173</v>
      </c>
      <c r="C261" s="143" t="s">
        <v>188</v>
      </c>
      <c r="D261" s="144">
        <v>0</v>
      </c>
      <c r="E261" s="345"/>
      <c r="F261" s="324">
        <v>0</v>
      </c>
    </row>
    <row r="262" spans="1:6" ht="15.75" thickBot="1">
      <c r="A262" s="435"/>
      <c r="B262" s="142">
        <v>5175</v>
      </c>
      <c r="C262" s="143" t="s">
        <v>232</v>
      </c>
      <c r="D262" s="144">
        <v>1664</v>
      </c>
      <c r="E262" s="345">
        <v>1900</v>
      </c>
      <c r="F262" s="324">
        <v>2500</v>
      </c>
    </row>
    <row r="263" spans="1:6" ht="15.75" thickBot="1">
      <c r="A263" s="435"/>
      <c r="B263" s="142">
        <v>5182</v>
      </c>
      <c r="C263" s="143" t="s">
        <v>233</v>
      </c>
      <c r="D263" s="144"/>
      <c r="E263" s="345">
        <v>120400</v>
      </c>
      <c r="F263" s="324"/>
    </row>
    <row r="264" spans="1:6" ht="15.75" thickBot="1">
      <c r="A264" s="435"/>
      <c r="B264" s="142">
        <v>5194</v>
      </c>
      <c r="C264" s="143" t="s">
        <v>234</v>
      </c>
      <c r="D264" s="144"/>
      <c r="E264" s="345"/>
      <c r="F264" s="324"/>
    </row>
    <row r="265" spans="1:6" ht="15.75" thickBot="1">
      <c r="A265" s="435"/>
      <c r="B265" s="142">
        <v>5229</v>
      </c>
      <c r="C265" s="143" t="s">
        <v>235</v>
      </c>
      <c r="D265" s="144">
        <v>0</v>
      </c>
      <c r="E265" s="345"/>
      <c r="F265" s="324"/>
    </row>
    <row r="266" spans="1:6" ht="15.75" thickBot="1">
      <c r="A266" s="435"/>
      <c r="B266" s="142">
        <v>5361</v>
      </c>
      <c r="C266" s="143" t="s">
        <v>236</v>
      </c>
      <c r="D266" s="144">
        <v>1000</v>
      </c>
      <c r="E266" s="345"/>
      <c r="F266" s="324"/>
    </row>
    <row r="267" spans="1:6" ht="15.75" thickBot="1">
      <c r="A267" s="435"/>
      <c r="B267" s="142">
        <v>5362</v>
      </c>
      <c r="C267" s="143" t="s">
        <v>237</v>
      </c>
      <c r="D267" s="144">
        <v>75685.11</v>
      </c>
      <c r="E267" s="345">
        <v>0</v>
      </c>
      <c r="F267" s="324">
        <v>80000</v>
      </c>
    </row>
    <row r="268" spans="1:6" ht="15.75" thickBot="1">
      <c r="A268" s="435"/>
      <c r="B268" s="142">
        <v>5365</v>
      </c>
      <c r="C268" s="143" t="s">
        <v>127</v>
      </c>
      <c r="D268" s="144"/>
      <c r="E268" s="345"/>
      <c r="F268" s="324"/>
    </row>
    <row r="269" spans="1:6" ht="15.75" thickBot="1">
      <c r="A269" s="435"/>
      <c r="B269" s="142">
        <v>6121</v>
      </c>
      <c r="C269" s="154" t="s">
        <v>159</v>
      </c>
      <c r="D269" s="239">
        <v>6196352.7</v>
      </c>
      <c r="E269" s="385">
        <v>345500</v>
      </c>
      <c r="F269" s="324">
        <v>400000</v>
      </c>
    </row>
    <row r="270" spans="1:6" ht="15.75" thickBot="1">
      <c r="A270" s="435"/>
      <c r="B270" s="142">
        <v>6122</v>
      </c>
      <c r="C270" s="240" t="s">
        <v>256</v>
      </c>
      <c r="D270" s="144">
        <v>96195</v>
      </c>
      <c r="E270" s="345">
        <v>179000</v>
      </c>
      <c r="F270" s="324">
        <v>100000</v>
      </c>
    </row>
    <row r="271" spans="1:6" ht="16.5" thickBot="1">
      <c r="A271" s="435"/>
      <c r="B271" s="142"/>
      <c r="C271" s="145" t="s">
        <v>53</v>
      </c>
      <c r="D271" s="146">
        <f>SUM(D221:D270)</f>
        <v>8513420.27</v>
      </c>
      <c r="E271" s="346">
        <f>SUM(E221:E270)</f>
        <v>2243400</v>
      </c>
      <c r="F271" s="325">
        <f>SUM(F221:F270)</f>
        <v>2456000</v>
      </c>
    </row>
    <row r="272" spans="1:6" ht="15.75" thickBot="1">
      <c r="A272" s="435"/>
      <c r="B272" s="147"/>
      <c r="C272" s="148"/>
      <c r="D272" s="149"/>
      <c r="E272" s="409"/>
      <c r="F272" s="326"/>
    </row>
    <row r="273" spans="1:6" ht="15.75">
      <c r="A273" s="437" t="s">
        <v>238</v>
      </c>
      <c r="B273" s="437"/>
      <c r="C273" s="437"/>
      <c r="D273" s="241"/>
      <c r="E273" s="407"/>
      <c r="F273" s="327"/>
    </row>
    <row r="274" spans="1:6" ht="15">
      <c r="A274" s="242">
        <v>6310</v>
      </c>
      <c r="B274" s="130">
        <v>5163</v>
      </c>
      <c r="C274" s="131" t="s">
        <v>239</v>
      </c>
      <c r="D274" s="132"/>
      <c r="E274" s="340"/>
      <c r="F274" s="324"/>
    </row>
    <row r="275" spans="1:6" ht="15.75">
      <c r="A275" s="243"/>
      <c r="B275" s="130"/>
      <c r="C275" s="133" t="s">
        <v>53</v>
      </c>
      <c r="D275" s="173"/>
      <c r="E275" s="356"/>
      <c r="F275" s="324"/>
    </row>
    <row r="276" spans="1:6" ht="15.75">
      <c r="A276" s="243"/>
      <c r="B276" s="130"/>
      <c r="C276" s="133"/>
      <c r="D276" s="173"/>
      <c r="E276" s="356"/>
      <c r="F276" s="324"/>
    </row>
    <row r="277" spans="1:6" ht="15.75">
      <c r="A277" s="456" t="s">
        <v>240</v>
      </c>
      <c r="B277" s="456"/>
      <c r="C277" s="456"/>
      <c r="D277" s="244"/>
      <c r="E277" s="386"/>
      <c r="F277" s="324"/>
    </row>
    <row r="278" spans="1:6" ht="15">
      <c r="A278" s="242">
        <v>6330</v>
      </c>
      <c r="B278" s="130">
        <v>5345</v>
      </c>
      <c r="C278" s="131" t="s">
        <v>241</v>
      </c>
      <c r="D278" s="132">
        <v>290000</v>
      </c>
      <c r="E278" s="340"/>
      <c r="F278" s="324"/>
    </row>
    <row r="279" spans="1:6" ht="15.75">
      <c r="A279" s="243"/>
      <c r="B279" s="130"/>
      <c r="C279" s="133" t="s">
        <v>53</v>
      </c>
      <c r="D279" s="173">
        <f>SUM(D274:D278)</f>
        <v>290000</v>
      </c>
      <c r="E279" s="356"/>
      <c r="F279" s="324"/>
    </row>
    <row r="280" spans="1:6" ht="15.75" thickBot="1">
      <c r="A280" s="245"/>
      <c r="B280" s="136"/>
      <c r="C280" s="136"/>
      <c r="D280" s="137"/>
      <c r="E280" s="342"/>
      <c r="F280" s="326"/>
    </row>
    <row r="281" spans="1:6" ht="15.75">
      <c r="A281" s="442" t="s">
        <v>242</v>
      </c>
      <c r="B281" s="442"/>
      <c r="C281" s="442"/>
      <c r="D281" s="246"/>
      <c r="E281" s="362"/>
      <c r="F281" s="327"/>
    </row>
    <row r="282" spans="1:6" ht="15">
      <c r="A282" s="457">
        <v>6399</v>
      </c>
      <c r="B282" s="142">
        <v>5362</v>
      </c>
      <c r="C282" s="143" t="s">
        <v>243</v>
      </c>
      <c r="D282" s="144">
        <v>354020</v>
      </c>
      <c r="E282" s="345">
        <v>98400</v>
      </c>
      <c r="F282" s="324">
        <v>400000</v>
      </c>
    </row>
    <row r="283" spans="1:6" ht="15">
      <c r="A283" s="457"/>
      <c r="B283" s="142">
        <v>5362</v>
      </c>
      <c r="C283" s="143" t="s">
        <v>460</v>
      </c>
      <c r="D283" s="144"/>
      <c r="E283" s="345">
        <v>133200</v>
      </c>
      <c r="F283" s="324"/>
    </row>
    <row r="284" spans="1:6" ht="15.75">
      <c r="A284" s="247"/>
      <c r="B284" s="142"/>
      <c r="C284" s="248" t="s">
        <v>53</v>
      </c>
      <c r="D284" s="227">
        <f>SUM(D282)</f>
        <v>354020</v>
      </c>
      <c r="E284" s="379"/>
      <c r="F284" s="324">
        <f>SUM(F282:F283)</f>
        <v>400000</v>
      </c>
    </row>
    <row r="285" spans="1:6" ht="15.75" thickBot="1">
      <c r="A285" s="249"/>
      <c r="B285" s="148"/>
      <c r="C285" s="148"/>
      <c r="D285" s="149"/>
      <c r="E285" s="347"/>
      <c r="F285" s="326"/>
    </row>
    <row r="286" spans="1:6" ht="15.75">
      <c r="A286" s="445" t="s">
        <v>244</v>
      </c>
      <c r="B286" s="445"/>
      <c r="C286" s="445"/>
      <c r="D286" s="189"/>
      <c r="E286" s="365"/>
      <c r="F286" s="327"/>
    </row>
    <row r="287" spans="1:6" ht="15">
      <c r="A287" s="458">
        <v>6402</v>
      </c>
      <c r="B287" s="130">
        <v>5221</v>
      </c>
      <c r="C287" s="131" t="s">
        <v>245</v>
      </c>
      <c r="D287" s="168"/>
      <c r="E287" s="353"/>
      <c r="F287" s="324"/>
    </row>
    <row r="288" spans="1:6" ht="15">
      <c r="A288" s="458"/>
      <c r="B288" s="130">
        <v>5364</v>
      </c>
      <c r="C288" s="131" t="s">
        <v>246</v>
      </c>
      <c r="D288" s="132"/>
      <c r="E288" s="340"/>
      <c r="F288" s="324"/>
    </row>
    <row r="289" spans="1:6" ht="15.75">
      <c r="A289" s="243"/>
      <c r="B289" s="130"/>
      <c r="C289" s="153" t="s">
        <v>53</v>
      </c>
      <c r="D289" s="134">
        <f>SUM(D286:D288)</f>
        <v>0</v>
      </c>
      <c r="E289" s="341"/>
      <c r="F289" s="324"/>
    </row>
    <row r="290" spans="1:6" ht="15.75" thickBot="1">
      <c r="A290" s="250"/>
      <c r="B290" s="136"/>
      <c r="C290" s="136"/>
      <c r="D290" s="137"/>
      <c r="E290" s="342"/>
      <c r="F290" s="326"/>
    </row>
    <row r="291" spans="1:6" ht="15.75">
      <c r="A291" s="453" t="s">
        <v>247</v>
      </c>
      <c r="B291" s="453"/>
      <c r="C291" s="453"/>
      <c r="D291" s="251"/>
      <c r="E291" s="358"/>
      <c r="F291" s="327"/>
    </row>
    <row r="292" spans="1:6" ht="15">
      <c r="A292" s="454">
        <v>6409</v>
      </c>
      <c r="B292" s="252">
        <v>5221</v>
      </c>
      <c r="C292" s="253" t="s">
        <v>248</v>
      </c>
      <c r="D292" s="254">
        <v>12135.6</v>
      </c>
      <c r="E292" s="359">
        <v>12400</v>
      </c>
      <c r="F292" s="324">
        <v>12710</v>
      </c>
    </row>
    <row r="293" spans="1:6" ht="15">
      <c r="A293" s="454"/>
      <c r="B293" s="178">
        <v>5229</v>
      </c>
      <c r="C293" s="255" t="s">
        <v>249</v>
      </c>
      <c r="D293" s="254">
        <v>8000</v>
      </c>
      <c r="E293" s="359"/>
      <c r="F293" s="324">
        <v>8000</v>
      </c>
    </row>
    <row r="294" spans="1:6" ht="15.75" thickBot="1">
      <c r="A294" s="256"/>
      <c r="B294" s="257"/>
      <c r="C294" s="181" t="s">
        <v>53</v>
      </c>
      <c r="D294" s="212">
        <f>SUM(D292:D293)</f>
        <v>20135.6</v>
      </c>
      <c r="E294" s="372"/>
      <c r="F294" s="331">
        <f>SUM(F292:F293)</f>
        <v>20710</v>
      </c>
    </row>
    <row r="295" spans="1:6" ht="18" thickBot="1">
      <c r="A295" s="258" t="s">
        <v>250</v>
      </c>
      <c r="B295" s="259"/>
      <c r="C295" s="260"/>
      <c r="D295" s="261">
        <f>D8+D17+D21+D34+D41+D67+D77+D82+D88+D101+D112+D116+D124+D134+D143+D147+D157+D166+D183+D189+D206+D218+D271+D279+D284+D294+D197</f>
        <v>16125914.02</v>
      </c>
      <c r="E295" s="261">
        <f>E8+E17+E21+E34+E41+E67+E77+E82+E88+E101+E112+E116+E124+E134+E143+E147+E157+E166+E183+E189+E206+E218+E271+E279+E284+E294+E197</f>
        <v>9022488</v>
      </c>
      <c r="F295" s="335">
        <f>SUM(F8+F17+F21+F34+F41+F67+F77+F82+F88+F101+F112+F116+F124+F134+F143+F147+F157+F166+F183+F189+F206+F218+F271+F284+F294)</f>
        <v>19074410</v>
      </c>
    </row>
    <row r="296" spans="1:6" ht="18" thickBot="1">
      <c r="A296" s="262"/>
      <c r="B296" s="263"/>
      <c r="C296" s="264"/>
      <c r="D296" s="265"/>
      <c r="E296" s="387"/>
      <c r="F296" s="336"/>
    </row>
    <row r="297" spans="1:6" ht="18" thickBot="1">
      <c r="A297" s="258" t="s">
        <v>251</v>
      </c>
      <c r="B297" s="259"/>
      <c r="C297" s="260"/>
      <c r="D297" s="261">
        <f>'návrh rozpočtu příjmy'!E72</f>
        <v>14329377.57</v>
      </c>
      <c r="E297" s="261">
        <f>'návrh rozpočtu příjmy'!F72</f>
        <v>12863040</v>
      </c>
      <c r="F297" s="335">
        <f>'návrh rozpočtu příjmy'!G72</f>
        <v>14625000</v>
      </c>
    </row>
    <row r="298" spans="1:6" ht="18" thickBot="1">
      <c r="A298" s="262"/>
      <c r="B298" s="263"/>
      <c r="C298" s="264"/>
      <c r="D298" s="266"/>
      <c r="E298" s="388"/>
      <c r="F298" s="337"/>
    </row>
    <row r="299" spans="1:6" ht="17.25">
      <c r="A299" s="267" t="s">
        <v>252</v>
      </c>
      <c r="B299" s="268"/>
      <c r="C299" s="269"/>
      <c r="D299" s="270"/>
      <c r="E299" s="389">
        <f>E297-E295</f>
        <v>3840552</v>
      </c>
      <c r="F299" s="338">
        <f>SUM(F297-F295)</f>
        <v>-4449410</v>
      </c>
    </row>
    <row r="300" spans="1:6" ht="15.75" thickBot="1">
      <c r="A300" s="455" t="s">
        <v>253</v>
      </c>
      <c r="B300" s="455"/>
      <c r="C300" s="455"/>
      <c r="D300" s="271"/>
      <c r="E300" s="410">
        <v>5861500</v>
      </c>
      <c r="F300" s="339"/>
    </row>
    <row r="303" spans="4:5" ht="13.5">
      <c r="D303" s="221"/>
      <c r="E303" s="221"/>
    </row>
  </sheetData>
  <sheetProtection/>
  <mergeCells count="67">
    <mergeCell ref="A291:C291"/>
    <mergeCell ref="A292:A293"/>
    <mergeCell ref="A300:C300"/>
    <mergeCell ref="A273:C273"/>
    <mergeCell ref="A277:C277"/>
    <mergeCell ref="A281:C281"/>
    <mergeCell ref="A282:A283"/>
    <mergeCell ref="A286:C286"/>
    <mergeCell ref="A287:A288"/>
    <mergeCell ref="A200:A207"/>
    <mergeCell ref="A208:C208"/>
    <mergeCell ref="A209:A219"/>
    <mergeCell ref="A220:C220"/>
    <mergeCell ref="A221:A272"/>
    <mergeCell ref="B231:B235"/>
    <mergeCell ref="B236:B249"/>
    <mergeCell ref="A174:A183"/>
    <mergeCell ref="A184:C184"/>
    <mergeCell ref="A185:A190"/>
    <mergeCell ref="A191:C191"/>
    <mergeCell ref="A192:A198"/>
    <mergeCell ref="A199:C199"/>
    <mergeCell ref="A146:A148"/>
    <mergeCell ref="A149:C149"/>
    <mergeCell ref="A150:A158"/>
    <mergeCell ref="A160:A166"/>
    <mergeCell ref="A168:A172"/>
    <mergeCell ref="A173:C173"/>
    <mergeCell ref="A118:C118"/>
    <mergeCell ref="A119:A125"/>
    <mergeCell ref="A126:C126"/>
    <mergeCell ref="A127:A135"/>
    <mergeCell ref="A136:C136"/>
    <mergeCell ref="A137:A144"/>
    <mergeCell ref="D97:D98"/>
    <mergeCell ref="A103:C103"/>
    <mergeCell ref="A105:A113"/>
    <mergeCell ref="B109:B110"/>
    <mergeCell ref="A114:C114"/>
    <mergeCell ref="A115:A117"/>
    <mergeCell ref="A79:C79"/>
    <mergeCell ref="A80:A83"/>
    <mergeCell ref="A84:C84"/>
    <mergeCell ref="A85:A89"/>
    <mergeCell ref="A91:C91"/>
    <mergeCell ref="A92:A102"/>
    <mergeCell ref="B97:B98"/>
    <mergeCell ref="C97:C98"/>
    <mergeCell ref="A38:A42"/>
    <mergeCell ref="A44:A48"/>
    <mergeCell ref="A50:C50"/>
    <mergeCell ref="A51:A68"/>
    <mergeCell ref="A69:C69"/>
    <mergeCell ref="A70:A78"/>
    <mergeCell ref="A13:A18"/>
    <mergeCell ref="A20:A22"/>
    <mergeCell ref="A23:C23"/>
    <mergeCell ref="A24:A35"/>
    <mergeCell ref="B29:B30"/>
    <mergeCell ref="A36:C36"/>
    <mergeCell ref="A1:D1"/>
    <mergeCell ref="F1:F2"/>
    <mergeCell ref="A3:C3"/>
    <mergeCell ref="A4:A9"/>
    <mergeCell ref="B6:B7"/>
    <mergeCell ref="A10:C10"/>
    <mergeCell ref="E1:E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PageLayoutView="0" workbookViewId="0" topLeftCell="G17">
      <selection activeCell="M19" sqref="M19"/>
    </sheetView>
  </sheetViews>
  <sheetFormatPr defaultColWidth="9.00390625" defaultRowHeight="14.25"/>
  <cols>
    <col min="3" max="3" width="39.625" style="0" customWidth="1"/>
    <col min="8" max="8" width="39.75390625" style="0" customWidth="1"/>
    <col min="9" max="9" width="9.875" style="0" bestFit="1" customWidth="1"/>
    <col min="12" max="12" width="10.50390625" style="0" customWidth="1"/>
    <col min="13" max="13" width="37.625" style="0" customWidth="1"/>
    <col min="14" max="14" width="12.625" style="0" customWidth="1"/>
    <col min="17" max="17" width="12.25390625" style="0" customWidth="1"/>
    <col min="18" max="18" width="38.25390625" style="0" customWidth="1"/>
    <col min="19" max="19" width="14.375" style="0" customWidth="1"/>
  </cols>
  <sheetData>
    <row r="2" ht="13.5">
      <c r="I2" s="116"/>
    </row>
    <row r="3" spans="3:19" ht="17.25">
      <c r="C3" s="82" t="s">
        <v>317</v>
      </c>
      <c r="D3" s="116"/>
      <c r="H3" s="82" t="s">
        <v>270</v>
      </c>
      <c r="I3" s="116"/>
      <c r="M3" s="82" t="s">
        <v>308</v>
      </c>
      <c r="N3" s="116"/>
      <c r="R3" s="82" t="s">
        <v>332</v>
      </c>
      <c r="S3" s="116"/>
    </row>
    <row r="4" spans="1:19" ht="13.5">
      <c r="A4" s="3" t="s">
        <v>271</v>
      </c>
      <c r="B4" s="115">
        <f>SUM(D4:D10)</f>
        <v>2059000</v>
      </c>
      <c r="C4" s="3" t="s">
        <v>318</v>
      </c>
      <c r="D4" s="2">
        <v>1000000</v>
      </c>
      <c r="F4" s="3" t="s">
        <v>271</v>
      </c>
      <c r="G4" s="115">
        <f>SUM(I4:I7)</f>
        <v>6802783</v>
      </c>
      <c r="H4" s="3" t="s">
        <v>273</v>
      </c>
      <c r="I4" s="2">
        <v>24780</v>
      </c>
      <c r="K4" s="3" t="s">
        <v>271</v>
      </c>
      <c r="L4" s="115">
        <f>SUM(N4:N15)</f>
        <v>1712648.5</v>
      </c>
      <c r="M4" s="3" t="s">
        <v>287</v>
      </c>
      <c r="N4" s="2">
        <f>16600+1795+393668</f>
        <v>412063</v>
      </c>
      <c r="P4" s="3" t="s">
        <v>271</v>
      </c>
      <c r="Q4" s="115">
        <f>SUM(S4:S11)</f>
        <v>666689</v>
      </c>
      <c r="R4" s="3" t="s">
        <v>335</v>
      </c>
      <c r="S4" s="2">
        <v>11495</v>
      </c>
    </row>
    <row r="5" spans="1:19" ht="13.5">
      <c r="A5" s="3"/>
      <c r="B5" s="120"/>
      <c r="C5" s="3" t="s">
        <v>319</v>
      </c>
      <c r="D5" s="2">
        <v>300000</v>
      </c>
      <c r="F5" s="3"/>
      <c r="G5" s="120"/>
      <c r="H5" s="3" t="s">
        <v>277</v>
      </c>
      <c r="I5" s="2">
        <v>554111</v>
      </c>
      <c r="K5" s="3"/>
      <c r="L5" s="120"/>
      <c r="M5" s="3" t="s">
        <v>289</v>
      </c>
      <c r="N5" s="2">
        <v>77435</v>
      </c>
      <c r="P5" s="3"/>
      <c r="Q5" s="120"/>
      <c r="R5" s="3" t="s">
        <v>336</v>
      </c>
      <c r="S5" s="2">
        <v>19300</v>
      </c>
    </row>
    <row r="6" spans="1:19" ht="13.5">
      <c r="A6" s="3"/>
      <c r="B6" s="120"/>
      <c r="C6" s="3" t="s">
        <v>320</v>
      </c>
      <c r="D6" s="2">
        <v>100000</v>
      </c>
      <c r="F6" s="3"/>
      <c r="G6" s="120"/>
      <c r="H6" s="3" t="s">
        <v>280</v>
      </c>
      <c r="I6" s="2">
        <v>27539</v>
      </c>
      <c r="K6" s="3"/>
      <c r="L6" s="120"/>
      <c r="M6" s="3" t="s">
        <v>290</v>
      </c>
      <c r="N6" s="2">
        <v>87297</v>
      </c>
      <c r="P6" s="3"/>
      <c r="Q6" s="120"/>
      <c r="R6" s="3" t="s">
        <v>338</v>
      </c>
      <c r="S6" s="2">
        <v>19762</v>
      </c>
    </row>
    <row r="7" spans="1:19" ht="13.5">
      <c r="A7" s="3"/>
      <c r="B7" s="120"/>
      <c r="C7" s="3" t="s">
        <v>321</v>
      </c>
      <c r="D7" s="2">
        <v>100000</v>
      </c>
      <c r="F7" s="3"/>
      <c r="G7" s="120"/>
      <c r="H7" s="3" t="s">
        <v>285</v>
      </c>
      <c r="I7" s="2">
        <v>6196353</v>
      </c>
      <c r="K7" s="3"/>
      <c r="L7" s="120"/>
      <c r="M7" s="3" t="s">
        <v>291</v>
      </c>
      <c r="N7" s="2">
        <v>23304</v>
      </c>
      <c r="P7" s="3"/>
      <c r="Q7" s="120"/>
      <c r="R7" s="3" t="s">
        <v>340</v>
      </c>
      <c r="S7" s="2">
        <f>9951+27838</f>
        <v>37789</v>
      </c>
    </row>
    <row r="8" spans="1:19" ht="13.5">
      <c r="A8" s="3"/>
      <c r="B8" s="120"/>
      <c r="C8" s="3" t="s">
        <v>323</v>
      </c>
      <c r="D8" s="2">
        <v>150000</v>
      </c>
      <c r="F8" s="3" t="s">
        <v>4</v>
      </c>
      <c r="G8" s="115">
        <f>SUM(I8:I13)</f>
        <v>689024</v>
      </c>
      <c r="H8" s="3" t="s">
        <v>272</v>
      </c>
      <c r="I8" s="2">
        <v>20631</v>
      </c>
      <c r="K8" s="3"/>
      <c r="L8" s="120"/>
      <c r="M8" s="3" t="s">
        <v>295</v>
      </c>
      <c r="N8" s="2">
        <v>11496</v>
      </c>
      <c r="P8" s="3"/>
      <c r="Q8" s="120"/>
      <c r="R8" s="3" t="s">
        <v>342</v>
      </c>
      <c r="S8" s="2">
        <v>71741</v>
      </c>
    </row>
    <row r="9" spans="1:19" ht="13.5">
      <c r="A9" s="3"/>
      <c r="B9" s="120"/>
      <c r="C9" s="3" t="s">
        <v>18</v>
      </c>
      <c r="D9" s="2">
        <v>250000</v>
      </c>
      <c r="F9" s="3"/>
      <c r="G9" s="120"/>
      <c r="H9" s="3" t="s">
        <v>276</v>
      </c>
      <c r="I9" s="2">
        <f>546991+11600</f>
        <v>558591</v>
      </c>
      <c r="K9" s="3"/>
      <c r="L9" s="120"/>
      <c r="M9" s="3" t="s">
        <v>296</v>
      </c>
      <c r="N9" s="2">
        <v>390859</v>
      </c>
      <c r="P9" s="3"/>
      <c r="Q9" s="120"/>
      <c r="R9" s="3" t="s">
        <v>343</v>
      </c>
      <c r="S9" s="2">
        <v>267255</v>
      </c>
    </row>
    <row r="10" spans="1:19" ht="13.5">
      <c r="A10" s="3"/>
      <c r="B10" s="120"/>
      <c r="C10" s="3" t="s">
        <v>328</v>
      </c>
      <c r="D10" s="2">
        <v>159000</v>
      </c>
      <c r="F10" s="3"/>
      <c r="G10" s="120"/>
      <c r="H10" s="3" t="s">
        <v>351</v>
      </c>
      <c r="I10" s="2">
        <v>65086</v>
      </c>
      <c r="K10" s="3"/>
      <c r="L10" s="120"/>
      <c r="M10" s="3" t="s">
        <v>297</v>
      </c>
      <c r="N10" s="2">
        <v>276783</v>
      </c>
      <c r="P10" s="3"/>
      <c r="Q10" s="120"/>
      <c r="R10" s="3" t="s">
        <v>345</v>
      </c>
      <c r="S10" s="2">
        <v>101292</v>
      </c>
    </row>
    <row r="11" spans="1:19" ht="13.5">
      <c r="A11" s="3" t="s">
        <v>4</v>
      </c>
      <c r="B11" s="115">
        <f>SUM(D11:D15)</f>
        <v>740000</v>
      </c>
      <c r="C11" s="3" t="s">
        <v>268</v>
      </c>
      <c r="D11" s="2">
        <v>250000</v>
      </c>
      <c r="F11" s="3"/>
      <c r="G11" s="120"/>
      <c r="H11" s="3" t="s">
        <v>281</v>
      </c>
      <c r="I11" s="2">
        <v>30000</v>
      </c>
      <c r="K11" s="3"/>
      <c r="L11" s="120"/>
      <c r="M11" s="3" t="s">
        <v>300</v>
      </c>
      <c r="N11" s="3">
        <f>72953+267101</f>
        <v>340054</v>
      </c>
      <c r="P11" s="3"/>
      <c r="Q11" s="120"/>
      <c r="R11" s="3" t="s">
        <v>346</v>
      </c>
      <c r="S11" s="2">
        <v>138055</v>
      </c>
    </row>
    <row r="12" spans="1:19" ht="13.5">
      <c r="A12" s="3"/>
      <c r="B12" s="120"/>
      <c r="C12" s="3" t="s">
        <v>322</v>
      </c>
      <c r="D12" s="2">
        <v>130000</v>
      </c>
      <c r="F12" s="3"/>
      <c r="G12" s="120"/>
      <c r="H12" s="3" t="s">
        <v>283</v>
      </c>
      <c r="I12" s="2">
        <v>4200</v>
      </c>
      <c r="K12" s="3"/>
      <c r="L12" s="120"/>
      <c r="M12" s="13" t="s">
        <v>301</v>
      </c>
      <c r="N12" s="14">
        <v>25597</v>
      </c>
      <c r="P12" s="3" t="s">
        <v>4</v>
      </c>
      <c r="Q12" s="115">
        <f>SUM(S12:S15)</f>
        <v>220667</v>
      </c>
      <c r="R12" s="3" t="s">
        <v>344</v>
      </c>
      <c r="S12" s="2">
        <v>27977</v>
      </c>
    </row>
    <row r="13" spans="1:19" ht="13.5">
      <c r="A13" s="3"/>
      <c r="B13" s="120"/>
      <c r="C13" s="3" t="s">
        <v>324</v>
      </c>
      <c r="D13" s="2">
        <v>50000</v>
      </c>
      <c r="F13" s="3"/>
      <c r="G13" s="120"/>
      <c r="H13" s="3" t="s">
        <v>286</v>
      </c>
      <c r="I13" s="2">
        <v>10516</v>
      </c>
      <c r="K13" s="3"/>
      <c r="L13" s="120"/>
      <c r="M13" s="13" t="s">
        <v>302</v>
      </c>
      <c r="N13" s="14">
        <v>9075</v>
      </c>
      <c r="P13" s="3"/>
      <c r="Q13" s="120"/>
      <c r="R13" s="3" t="s">
        <v>350</v>
      </c>
      <c r="S13" s="2">
        <v>22300</v>
      </c>
    </row>
    <row r="14" spans="1:19" ht="13.5">
      <c r="A14" s="3"/>
      <c r="B14" s="120"/>
      <c r="C14" s="3" t="s">
        <v>325</v>
      </c>
      <c r="D14" s="2">
        <v>250000</v>
      </c>
      <c r="F14" s="3" t="s">
        <v>6</v>
      </c>
      <c r="G14" s="115">
        <f>SUM(I14:I19)</f>
        <v>686282</v>
      </c>
      <c r="H14" s="3" t="s">
        <v>274</v>
      </c>
      <c r="I14" s="2">
        <v>213491</v>
      </c>
      <c r="K14" s="3"/>
      <c r="L14" s="120"/>
      <c r="M14" s="13" t="s">
        <v>305</v>
      </c>
      <c r="N14" s="2">
        <v>15549</v>
      </c>
      <c r="P14" s="3"/>
      <c r="Q14" s="120"/>
      <c r="R14" s="3" t="s">
        <v>347</v>
      </c>
      <c r="S14" s="2">
        <v>135390</v>
      </c>
    </row>
    <row r="15" spans="1:19" ht="13.5">
      <c r="A15" s="3"/>
      <c r="B15" s="120"/>
      <c r="C15" s="3" t="s">
        <v>327</v>
      </c>
      <c r="D15" s="2">
        <v>60000</v>
      </c>
      <c r="F15" s="3"/>
      <c r="G15" s="120"/>
      <c r="H15" s="3" t="s">
        <v>275</v>
      </c>
      <c r="I15" s="2">
        <v>317581</v>
      </c>
      <c r="K15" s="3"/>
      <c r="L15" s="120"/>
      <c r="M15" s="13" t="s">
        <v>306</v>
      </c>
      <c r="N15" s="119">
        <v>43136.5</v>
      </c>
      <c r="P15" s="3"/>
      <c r="Q15" s="120"/>
      <c r="R15" s="3" t="s">
        <v>349</v>
      </c>
      <c r="S15" s="2">
        <v>35000</v>
      </c>
    </row>
    <row r="16" spans="1:19" ht="13.5">
      <c r="A16" s="3" t="s">
        <v>6</v>
      </c>
      <c r="B16" s="115">
        <f>SUM(D16:D18)</f>
        <v>377000</v>
      </c>
      <c r="C16" s="3" t="s">
        <v>326</v>
      </c>
      <c r="D16" s="2">
        <v>50000</v>
      </c>
      <c r="F16" s="3"/>
      <c r="G16" s="120"/>
      <c r="H16" s="3" t="s">
        <v>278</v>
      </c>
      <c r="I16" s="2">
        <v>71436</v>
      </c>
      <c r="K16" s="3" t="s">
        <v>4</v>
      </c>
      <c r="L16" s="115">
        <f>SUM(N16:N21)</f>
        <v>505670</v>
      </c>
      <c r="M16" s="3" t="s">
        <v>293</v>
      </c>
      <c r="N16" s="2">
        <v>100354</v>
      </c>
      <c r="P16" s="3" t="s">
        <v>6</v>
      </c>
      <c r="Q16" s="115">
        <f>SUM(S16:S19)</f>
        <v>1440052</v>
      </c>
      <c r="R16" s="3" t="s">
        <v>334</v>
      </c>
      <c r="S16" s="2">
        <f>88768</f>
        <v>88768</v>
      </c>
    </row>
    <row r="17" spans="1:19" ht="13.5">
      <c r="A17" s="3"/>
      <c r="B17" s="120"/>
      <c r="C17" s="3" t="s">
        <v>330</v>
      </c>
      <c r="D17" s="2">
        <v>262000</v>
      </c>
      <c r="F17" s="3"/>
      <c r="G17" s="120"/>
      <c r="H17" s="3" t="s">
        <v>279</v>
      </c>
      <c r="I17" s="2">
        <v>17860</v>
      </c>
      <c r="K17" s="3"/>
      <c r="L17" s="120"/>
      <c r="M17" s="3" t="s">
        <v>296</v>
      </c>
      <c r="N17" s="2">
        <v>203067</v>
      </c>
      <c r="P17" s="3"/>
      <c r="Q17" s="120"/>
      <c r="R17" s="3" t="s">
        <v>337</v>
      </c>
      <c r="S17" s="2">
        <f>1078986+13800</f>
        <v>1092786</v>
      </c>
    </row>
    <row r="18" spans="1:19" ht="13.5">
      <c r="A18" s="3"/>
      <c r="B18" s="120"/>
      <c r="C18" s="3" t="s">
        <v>329</v>
      </c>
      <c r="D18" s="2">
        <v>65000</v>
      </c>
      <c r="F18" s="3"/>
      <c r="G18" s="120"/>
      <c r="H18" s="3" t="s">
        <v>282</v>
      </c>
      <c r="I18" s="2">
        <v>26680</v>
      </c>
      <c r="K18" s="3"/>
      <c r="L18" s="120"/>
      <c r="M18" s="3" t="s">
        <v>297</v>
      </c>
      <c r="N18" s="2">
        <v>89247</v>
      </c>
      <c r="P18" s="3"/>
      <c r="Q18" s="120"/>
      <c r="R18" s="3" t="s">
        <v>339</v>
      </c>
      <c r="S18" s="2">
        <v>242178</v>
      </c>
    </row>
    <row r="19" spans="1:19" ht="13.5">
      <c r="A19" s="3"/>
      <c r="B19" s="3"/>
      <c r="C19" s="3" t="s">
        <v>331</v>
      </c>
      <c r="D19" s="2">
        <v>10000</v>
      </c>
      <c r="F19" s="3"/>
      <c r="G19" s="120"/>
      <c r="H19" s="3" t="s">
        <v>284</v>
      </c>
      <c r="I19" s="2">
        <f>22874+16360</f>
        <v>39234</v>
      </c>
      <c r="K19" s="3"/>
      <c r="L19" s="120"/>
      <c r="M19" s="3" t="s">
        <v>298</v>
      </c>
      <c r="N19" s="2">
        <v>40273</v>
      </c>
      <c r="P19" s="3"/>
      <c r="Q19" s="115"/>
      <c r="R19" s="3" t="s">
        <v>341</v>
      </c>
      <c r="S19" s="2">
        <f>12690+3630</f>
        <v>16320</v>
      </c>
    </row>
    <row r="20" spans="1:19" ht="13.5">
      <c r="A20" s="3" t="s">
        <v>5</v>
      </c>
      <c r="B20" s="115">
        <f>D20</f>
        <v>0</v>
      </c>
      <c r="C20" s="3"/>
      <c r="D20" s="2"/>
      <c r="F20" s="3" t="s">
        <v>5</v>
      </c>
      <c r="G20" s="120">
        <v>0</v>
      </c>
      <c r="H20" s="3"/>
      <c r="I20" s="2"/>
      <c r="K20" s="3"/>
      <c r="L20" s="120"/>
      <c r="M20" s="3" t="s">
        <v>303</v>
      </c>
      <c r="N20" s="2">
        <v>17838</v>
      </c>
      <c r="P20" s="3"/>
      <c r="Q20" s="120"/>
      <c r="R20" s="3"/>
      <c r="S20" s="2"/>
    </row>
    <row r="21" spans="7:19" ht="13.5">
      <c r="G21" s="121"/>
      <c r="I21" s="116"/>
      <c r="K21" s="3"/>
      <c r="L21" s="120"/>
      <c r="M21" s="3" t="s">
        <v>304</v>
      </c>
      <c r="N21" s="2">
        <v>54891</v>
      </c>
      <c r="P21" s="3" t="s">
        <v>5</v>
      </c>
      <c r="Q21" s="115">
        <f>S21</f>
        <v>10600</v>
      </c>
      <c r="R21" s="3" t="s">
        <v>348</v>
      </c>
      <c r="S21" s="2">
        <v>10600</v>
      </c>
    </row>
    <row r="22" spans="9:14" ht="13.5">
      <c r="I22" s="116"/>
      <c r="K22" s="3" t="s">
        <v>6</v>
      </c>
      <c r="L22" s="115">
        <f>SUM(N22:N24)</f>
        <v>268313</v>
      </c>
      <c r="M22" s="3" t="s">
        <v>292</v>
      </c>
      <c r="N22" s="2">
        <v>30492</v>
      </c>
    </row>
    <row r="23" spans="9:14" ht="13.5">
      <c r="I23" s="116"/>
      <c r="K23" s="3"/>
      <c r="L23" s="120"/>
      <c r="M23" s="3" t="s">
        <v>294</v>
      </c>
      <c r="N23" s="2">
        <v>93422</v>
      </c>
    </row>
    <row r="24" spans="9:14" ht="13.5">
      <c r="I24" s="116"/>
      <c r="K24" s="3"/>
      <c r="L24" s="120"/>
      <c r="M24" s="3" t="s">
        <v>299</v>
      </c>
      <c r="N24" s="2">
        <v>144399</v>
      </c>
    </row>
    <row r="25" spans="9:14" ht="13.5">
      <c r="I25" s="116"/>
      <c r="K25" s="3" t="s">
        <v>5</v>
      </c>
      <c r="L25" s="115">
        <f>N25</f>
        <v>330785</v>
      </c>
      <c r="M25" s="3" t="s">
        <v>288</v>
      </c>
      <c r="N25" s="2">
        <f>17000+313785</f>
        <v>330785</v>
      </c>
    </row>
    <row r="26" spans="9:17" ht="13.5">
      <c r="I26" s="116"/>
      <c r="L26" s="121"/>
      <c r="Q26" s="121"/>
    </row>
    <row r="27" ht="13.5">
      <c r="I27" s="117"/>
    </row>
    <row r="28" ht="13.5">
      <c r="I28" s="117"/>
    </row>
    <row r="29" ht="13.5">
      <c r="I29" s="118"/>
    </row>
    <row r="30" ht="13.5">
      <c r="I30" s="118"/>
    </row>
    <row r="31" spans="3:19" ht="17.25">
      <c r="C31" s="82" t="s">
        <v>316</v>
      </c>
      <c r="D31" s="116"/>
      <c r="H31" s="82" t="s">
        <v>307</v>
      </c>
      <c r="I31" s="116"/>
      <c r="M31" s="82" t="s">
        <v>309</v>
      </c>
      <c r="N31" s="116"/>
      <c r="R31" s="82" t="s">
        <v>333</v>
      </c>
      <c r="S31" s="116"/>
    </row>
    <row r="32" spans="1:19" ht="13.5">
      <c r="A32" s="3" t="s">
        <v>53</v>
      </c>
      <c r="B32" s="115">
        <f>SUM(D32:D38)</f>
        <v>1112000</v>
      </c>
      <c r="C32" s="3" t="s">
        <v>310</v>
      </c>
      <c r="D32" s="2">
        <v>2000</v>
      </c>
      <c r="F32" s="3" t="s">
        <v>53</v>
      </c>
      <c r="G32" s="115">
        <f>SUM(I32:I38)</f>
        <v>1620487</v>
      </c>
      <c r="H32" s="3" t="s">
        <v>310</v>
      </c>
      <c r="I32" s="2">
        <v>15950</v>
      </c>
      <c r="K32" s="3" t="s">
        <v>53</v>
      </c>
      <c r="L32" s="115">
        <f>SUM(N32:N38)</f>
        <v>2202610</v>
      </c>
      <c r="M32" s="3" t="s">
        <v>310</v>
      </c>
      <c r="N32" s="2">
        <v>1264</v>
      </c>
      <c r="P32" s="3" t="s">
        <v>53</v>
      </c>
      <c r="Q32" s="115">
        <f>SUM(S32:S38)</f>
        <v>2295438</v>
      </c>
      <c r="R32" s="3" t="s">
        <v>310</v>
      </c>
      <c r="S32" s="2">
        <f>869+5165</f>
        <v>6034</v>
      </c>
    </row>
    <row r="33" spans="1:19" ht="13.5">
      <c r="A33" s="3"/>
      <c r="B33" s="120"/>
      <c r="C33" s="3" t="s">
        <v>311</v>
      </c>
      <c r="D33" s="2">
        <v>100000</v>
      </c>
      <c r="F33" s="3"/>
      <c r="G33" s="120"/>
      <c r="H33" s="3" t="s">
        <v>311</v>
      </c>
      <c r="I33" s="2">
        <v>97955</v>
      </c>
      <c r="K33" s="3"/>
      <c r="L33" s="120"/>
      <c r="M33" s="3" t="s">
        <v>311</v>
      </c>
      <c r="N33" s="2">
        <v>82561</v>
      </c>
      <c r="P33" s="3"/>
      <c r="Q33" s="120"/>
      <c r="R33" s="3" t="s">
        <v>311</v>
      </c>
      <c r="S33" s="2">
        <v>118704</v>
      </c>
    </row>
    <row r="34" spans="1:19" ht="13.5">
      <c r="A34" s="3"/>
      <c r="B34" s="120"/>
      <c r="C34" s="3" t="s">
        <v>312</v>
      </c>
      <c r="D34" s="2">
        <v>10000</v>
      </c>
      <c r="F34" s="3"/>
      <c r="G34" s="120"/>
      <c r="H34" s="3" t="s">
        <v>312</v>
      </c>
      <c r="I34" s="2"/>
      <c r="K34" s="3"/>
      <c r="L34" s="120"/>
      <c r="M34" s="3" t="s">
        <v>312</v>
      </c>
      <c r="N34" s="2">
        <v>2783</v>
      </c>
      <c r="P34" s="3"/>
      <c r="Q34" s="120"/>
      <c r="R34" s="3" t="s">
        <v>312</v>
      </c>
      <c r="S34" s="2">
        <v>38772</v>
      </c>
    </row>
    <row r="35" spans="1:19" ht="13.5">
      <c r="A35" s="3"/>
      <c r="B35" s="120"/>
      <c r="C35" s="3" t="s">
        <v>313</v>
      </c>
      <c r="D35" s="2">
        <v>400000</v>
      </c>
      <c r="F35" s="3"/>
      <c r="G35" s="120"/>
      <c r="H35" s="3" t="s">
        <v>313</v>
      </c>
      <c r="I35" s="2">
        <f>20482+29265+338820</f>
        <v>388567</v>
      </c>
      <c r="K35" s="3"/>
      <c r="L35" s="120"/>
      <c r="M35" s="3" t="s">
        <v>313</v>
      </c>
      <c r="N35" s="2">
        <f>1082474+10000+5200+38000+2700</f>
        <v>1138374</v>
      </c>
      <c r="P35" s="3"/>
      <c r="Q35" s="120"/>
      <c r="R35" s="3" t="s">
        <v>313</v>
      </c>
      <c r="S35" s="2">
        <f>11022+68675+14061+275491+91793</f>
        <v>461042</v>
      </c>
    </row>
    <row r="36" spans="1:19" ht="13.5">
      <c r="A36" s="3"/>
      <c r="B36" s="120"/>
      <c r="C36" s="3" t="s">
        <v>314</v>
      </c>
      <c r="D36" s="2">
        <v>600000</v>
      </c>
      <c r="F36" s="3"/>
      <c r="G36" s="120"/>
      <c r="H36" s="3" t="s">
        <v>314</v>
      </c>
      <c r="I36" s="2">
        <f>652129-101385</f>
        <v>550744</v>
      </c>
      <c r="K36" s="3"/>
      <c r="L36" s="120"/>
      <c r="M36" s="3" t="s">
        <v>314</v>
      </c>
      <c r="N36" s="2">
        <f>652042-82561</f>
        <v>569481</v>
      </c>
      <c r="P36" s="3"/>
      <c r="Q36" s="120"/>
      <c r="R36" s="3" t="s">
        <v>314</v>
      </c>
      <c r="S36" s="2">
        <v>500000</v>
      </c>
    </row>
    <row r="37" spans="1:19" ht="13.5">
      <c r="A37" s="3"/>
      <c r="B37" s="120"/>
      <c r="C37" s="3"/>
      <c r="D37" s="2"/>
      <c r="F37" s="3"/>
      <c r="G37" s="120"/>
      <c r="H37" s="3" t="s">
        <v>315</v>
      </c>
      <c r="I37" s="2">
        <v>13160</v>
      </c>
      <c r="K37" s="3"/>
      <c r="L37" s="120"/>
      <c r="M37" s="3" t="s">
        <v>315</v>
      </c>
      <c r="N37" s="2">
        <v>28160</v>
      </c>
      <c r="P37" s="3"/>
      <c r="Q37" s="120"/>
      <c r="R37" s="3" t="s">
        <v>315</v>
      </c>
      <c r="S37" s="2">
        <v>13160</v>
      </c>
    </row>
    <row r="38" spans="1:19" ht="13.5">
      <c r="A38" s="3"/>
      <c r="B38" s="120"/>
      <c r="C38" s="3"/>
      <c r="D38" s="2"/>
      <c r="F38" s="3"/>
      <c r="G38" s="120"/>
      <c r="H38" s="3" t="s">
        <v>307</v>
      </c>
      <c r="I38" s="3">
        <v>554111</v>
      </c>
      <c r="K38" s="3"/>
      <c r="L38" s="120"/>
      <c r="M38" s="3" t="s">
        <v>309</v>
      </c>
      <c r="N38" s="2">
        <v>379987</v>
      </c>
      <c r="P38" s="3"/>
      <c r="Q38" s="120"/>
      <c r="R38" s="3" t="s">
        <v>309</v>
      </c>
      <c r="S38" s="2">
        <f>3063655+643367+79534+52100+33970+12100-2727000</f>
        <v>1157726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ALDEM</dc:creator>
  <cp:keywords/>
  <dc:description/>
  <cp:lastModifiedBy>OU Vyskytná nad Ji</cp:lastModifiedBy>
  <cp:lastPrinted>2016-11-09T09:14:14Z</cp:lastPrinted>
  <dcterms:created xsi:type="dcterms:W3CDTF">2014-10-29T09:01:46Z</dcterms:created>
  <dcterms:modified xsi:type="dcterms:W3CDTF">2017-12-21T14:11:39Z</dcterms:modified>
  <cp:category/>
  <cp:version/>
  <cp:contentType/>
  <cp:contentStatus/>
  <cp:revision>1</cp:revision>
</cp:coreProperties>
</file>